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645" windowWidth="14805" windowHeight="7470" firstSheet="5" activeTab="5"/>
  </bookViews>
  <sheets>
    <sheet name="Allocation" sheetId="1" r:id="rId1"/>
    <sheet name="Formula counts" sheetId="2" r:id="rId2"/>
    <sheet name="Formula Count Adjustments" sheetId="3" r:id="rId3"/>
    <sheet name="Formula Eligibility" sheetId="4" r:id="rId4"/>
    <sheet name="Initial Basic Grants Adj &amp; HH" sheetId="5" r:id="rId5"/>
    <sheet name="Sec. 1003(a) &amp; 1003(h) - Ex. 1 " sheetId="9" r:id="rId6"/>
    <sheet name="Sec. 1003(a) &amp; 1003(h) - Ex. 2" sheetId="11" r:id="rId7"/>
  </sheets>
  <definedNames>
    <definedName name="_xlnm._FilterDatabase" localSheetId="0" hidden="1">Allocation!#REF!</definedName>
    <definedName name="_xlnm.Print_Area" localSheetId="0">Allocation!$D$1:$R$29</definedName>
    <definedName name="_xlnm.Print_Area" localSheetId="1">'Formula counts'!$D$1:$R$28</definedName>
    <definedName name="_xlnm.Print_Titles" localSheetId="0">Allocation!$1:$8</definedName>
    <definedName name="_xlnm.Print_Titles" localSheetId="1">'Formula counts'!$1:$7</definedName>
  </definedNames>
  <calcPr calcId="145621"/>
</workbook>
</file>

<file path=xl/calcChain.xml><?xml version="1.0" encoding="utf-8"?>
<calcChain xmlns="http://schemas.openxmlformats.org/spreadsheetml/2006/main">
  <c r="B7" i="11" l="1"/>
  <c r="B8" i="11"/>
  <c r="X11" i="11"/>
  <c r="X12" i="11"/>
  <c r="X13" i="11"/>
  <c r="X14" i="11"/>
  <c r="X15" i="11"/>
  <c r="X16" i="11"/>
  <c r="X17" i="11"/>
  <c r="X18" i="11"/>
  <c r="X19" i="11"/>
  <c r="X20" i="11"/>
  <c r="X21" i="11"/>
  <c r="X22" i="11"/>
  <c r="X23" i="11"/>
  <c r="X24" i="11"/>
  <c r="X25" i="11"/>
  <c r="X26" i="11"/>
  <c r="X27" i="11"/>
  <c r="X28" i="11"/>
  <c r="X29" i="11"/>
  <c r="X30" i="11"/>
  <c r="Y8" i="11"/>
  <c r="G8" i="11"/>
  <c r="G11" i="11"/>
  <c r="G12" i="11"/>
  <c r="G13" i="11"/>
  <c r="G14" i="11"/>
  <c r="G15" i="11"/>
  <c r="G16" i="11"/>
  <c r="G17" i="11"/>
  <c r="G18" i="11"/>
  <c r="G19" i="11"/>
  <c r="G20" i="11"/>
  <c r="G21" i="11"/>
  <c r="G22" i="11"/>
  <c r="G23" i="11"/>
  <c r="G24" i="11"/>
  <c r="G25" i="11"/>
  <c r="G26" i="11"/>
  <c r="G27" i="11"/>
  <c r="G28" i="11"/>
  <c r="G29" i="11"/>
  <c r="G30" i="11"/>
  <c r="H11" i="11"/>
  <c r="H12" i="11"/>
  <c r="H13" i="11"/>
  <c r="H14" i="11"/>
  <c r="H15" i="11"/>
  <c r="H16" i="11"/>
  <c r="H17" i="11"/>
  <c r="H18" i="11"/>
  <c r="H19" i="11"/>
  <c r="H20" i="11"/>
  <c r="H21" i="11"/>
  <c r="H22" i="11"/>
  <c r="H23" i="11"/>
  <c r="H24" i="11"/>
  <c r="H25" i="11"/>
  <c r="H26" i="11"/>
  <c r="H27" i="11"/>
  <c r="H28" i="11"/>
  <c r="H29" i="11"/>
  <c r="H30" i="11"/>
  <c r="I11" i="11"/>
  <c r="I12" i="11"/>
  <c r="I13" i="11"/>
  <c r="I14" i="11"/>
  <c r="I15" i="11"/>
  <c r="I16" i="11"/>
  <c r="I17" i="11"/>
  <c r="I18" i="11"/>
  <c r="I19" i="11"/>
  <c r="I20" i="11"/>
  <c r="I21" i="11"/>
  <c r="I22" i="11"/>
  <c r="I23" i="11"/>
  <c r="I24" i="11"/>
  <c r="I25" i="11"/>
  <c r="I26" i="11"/>
  <c r="I27" i="11"/>
  <c r="I28" i="11"/>
  <c r="I29" i="11"/>
  <c r="I30" i="11"/>
  <c r="J8" i="11"/>
  <c r="J11" i="11"/>
  <c r="K11" i="11"/>
  <c r="L11" i="11"/>
  <c r="J12" i="11"/>
  <c r="K12" i="11"/>
  <c r="L12" i="11"/>
  <c r="J13" i="11"/>
  <c r="K13" i="11"/>
  <c r="L13" i="11"/>
  <c r="J14" i="11"/>
  <c r="K14" i="11"/>
  <c r="L14" i="11"/>
  <c r="J15" i="11"/>
  <c r="K15" i="11"/>
  <c r="L15" i="11"/>
  <c r="J16" i="11"/>
  <c r="K16" i="11"/>
  <c r="L16" i="11"/>
  <c r="J17" i="11"/>
  <c r="K17" i="11"/>
  <c r="L17" i="11"/>
  <c r="J18" i="11"/>
  <c r="K18" i="11"/>
  <c r="L18" i="11"/>
  <c r="J19" i="11"/>
  <c r="K19" i="11"/>
  <c r="L19" i="11"/>
  <c r="J20" i="11"/>
  <c r="K20" i="11"/>
  <c r="L20" i="11"/>
  <c r="J21" i="11"/>
  <c r="K21" i="11"/>
  <c r="L21" i="11"/>
  <c r="J22" i="11"/>
  <c r="K22" i="11"/>
  <c r="L22" i="11"/>
  <c r="J23" i="11"/>
  <c r="K23" i="11"/>
  <c r="L23" i="11"/>
  <c r="J24" i="11"/>
  <c r="K24" i="11"/>
  <c r="L24" i="11"/>
  <c r="J25" i="11"/>
  <c r="K25" i="11"/>
  <c r="L25" i="11"/>
  <c r="J26" i="11"/>
  <c r="K26" i="11"/>
  <c r="L26" i="11"/>
  <c r="J27" i="11"/>
  <c r="K27" i="11"/>
  <c r="L27" i="11"/>
  <c r="J28" i="11"/>
  <c r="K28" i="11"/>
  <c r="L28" i="11"/>
  <c r="J29" i="11"/>
  <c r="K29" i="11"/>
  <c r="L29" i="11"/>
  <c r="L30" i="11"/>
  <c r="M11" i="11"/>
  <c r="M12" i="11"/>
  <c r="M13" i="11"/>
  <c r="M14" i="11"/>
  <c r="M15" i="11"/>
  <c r="M16" i="11"/>
  <c r="M17" i="11"/>
  <c r="M18" i="11"/>
  <c r="M19" i="11"/>
  <c r="M20" i="11"/>
  <c r="M21" i="11"/>
  <c r="M22" i="11"/>
  <c r="M23" i="11"/>
  <c r="M24" i="11"/>
  <c r="M25" i="11"/>
  <c r="M26" i="11"/>
  <c r="M27" i="11"/>
  <c r="M28" i="11"/>
  <c r="M29" i="11"/>
  <c r="M30" i="11"/>
  <c r="N8" i="11"/>
  <c r="N11" i="11"/>
  <c r="O11" i="11"/>
  <c r="P11" i="11"/>
  <c r="N12" i="11"/>
  <c r="O12" i="11"/>
  <c r="P12" i="11"/>
  <c r="N13" i="11"/>
  <c r="O13" i="11"/>
  <c r="P13" i="11"/>
  <c r="N14" i="11"/>
  <c r="O14" i="11"/>
  <c r="P14" i="11"/>
  <c r="N15" i="11"/>
  <c r="O15" i="11"/>
  <c r="P15" i="11"/>
  <c r="N16" i="11"/>
  <c r="O16" i="11"/>
  <c r="P16" i="11"/>
  <c r="N17" i="11"/>
  <c r="O17" i="11"/>
  <c r="P17" i="11"/>
  <c r="N18" i="11"/>
  <c r="O18" i="11"/>
  <c r="P18" i="11"/>
  <c r="N19" i="11"/>
  <c r="O19" i="11"/>
  <c r="P19" i="11"/>
  <c r="N20" i="11"/>
  <c r="O20" i="11"/>
  <c r="P20" i="11"/>
  <c r="N21" i="11"/>
  <c r="O21" i="11"/>
  <c r="P21" i="11"/>
  <c r="N22" i="11"/>
  <c r="O22" i="11"/>
  <c r="P22" i="11"/>
  <c r="N23" i="11"/>
  <c r="O23" i="11"/>
  <c r="P23" i="11"/>
  <c r="N24" i="11"/>
  <c r="O24" i="11"/>
  <c r="P24" i="11"/>
  <c r="N25" i="11"/>
  <c r="O25" i="11"/>
  <c r="P25" i="11"/>
  <c r="N26" i="11"/>
  <c r="O26" i="11"/>
  <c r="P26" i="11"/>
  <c r="N27" i="11"/>
  <c r="O27" i="11"/>
  <c r="P27" i="11"/>
  <c r="N28" i="11"/>
  <c r="O28" i="11"/>
  <c r="P28" i="11"/>
  <c r="N29" i="11"/>
  <c r="O29" i="11"/>
  <c r="P29" i="11"/>
  <c r="P30" i="11"/>
  <c r="R8" i="11"/>
  <c r="Q11" i="11"/>
  <c r="Q12" i="11"/>
  <c r="Q13" i="11"/>
  <c r="Q14" i="11"/>
  <c r="Q15" i="11"/>
  <c r="Q16" i="11"/>
  <c r="Q17" i="11"/>
  <c r="Q18" i="11"/>
  <c r="Q19" i="11"/>
  <c r="Q20" i="11"/>
  <c r="Q21" i="11"/>
  <c r="Q22" i="11"/>
  <c r="Q23" i="11"/>
  <c r="Q24" i="11"/>
  <c r="Q25" i="11"/>
  <c r="Q26" i="11"/>
  <c r="Q27" i="11"/>
  <c r="Q28" i="11"/>
  <c r="Q29" i="11"/>
  <c r="Q30" i="11"/>
  <c r="R11" i="11"/>
  <c r="S11" i="11"/>
  <c r="T11" i="11"/>
  <c r="R12" i="11"/>
  <c r="S12" i="11"/>
  <c r="T12" i="11"/>
  <c r="R13" i="11"/>
  <c r="S13" i="11"/>
  <c r="T13" i="11"/>
  <c r="R14" i="11"/>
  <c r="S14" i="11"/>
  <c r="T14" i="11"/>
  <c r="R15" i="11"/>
  <c r="S15" i="11"/>
  <c r="T15" i="11"/>
  <c r="R16" i="11"/>
  <c r="S16" i="11"/>
  <c r="T16" i="11"/>
  <c r="R17" i="11"/>
  <c r="S17" i="11"/>
  <c r="T17" i="11"/>
  <c r="R18" i="11"/>
  <c r="S18" i="11"/>
  <c r="T18" i="11"/>
  <c r="R19" i="11"/>
  <c r="S19" i="11"/>
  <c r="T19" i="11"/>
  <c r="R20" i="11"/>
  <c r="S20" i="11"/>
  <c r="T20" i="11"/>
  <c r="R21" i="11"/>
  <c r="S21" i="11"/>
  <c r="T21" i="11"/>
  <c r="R22" i="11"/>
  <c r="S22" i="11"/>
  <c r="T22" i="11"/>
  <c r="R23" i="11"/>
  <c r="S23" i="11"/>
  <c r="T23" i="11"/>
  <c r="R24" i="11"/>
  <c r="S24" i="11"/>
  <c r="T24" i="11"/>
  <c r="R25" i="11"/>
  <c r="S25" i="11"/>
  <c r="T25" i="11"/>
  <c r="R26" i="11"/>
  <c r="S26" i="11"/>
  <c r="T26" i="11"/>
  <c r="R27" i="11"/>
  <c r="S27" i="11"/>
  <c r="T27" i="11"/>
  <c r="R28" i="11"/>
  <c r="S28" i="11"/>
  <c r="T28" i="11"/>
  <c r="R29" i="11"/>
  <c r="S29" i="11"/>
  <c r="T29" i="11"/>
  <c r="T30" i="11"/>
  <c r="V8" i="11"/>
  <c r="D11" i="11"/>
  <c r="E11" i="11"/>
  <c r="D12" i="11"/>
  <c r="E12" i="11"/>
  <c r="D13" i="11"/>
  <c r="E13" i="11"/>
  <c r="D14" i="11"/>
  <c r="E14" i="11"/>
  <c r="D15" i="11"/>
  <c r="E15" i="11"/>
  <c r="D16" i="11"/>
  <c r="E16" i="11"/>
  <c r="D17" i="11"/>
  <c r="E17" i="11"/>
  <c r="D18" i="11"/>
  <c r="E18" i="11"/>
  <c r="D19" i="11"/>
  <c r="E19" i="11"/>
  <c r="D20" i="11"/>
  <c r="E20" i="11"/>
  <c r="D21" i="11"/>
  <c r="E21" i="11"/>
  <c r="D22" i="11"/>
  <c r="E22" i="11"/>
  <c r="D23" i="11"/>
  <c r="E23" i="11"/>
  <c r="D24" i="11"/>
  <c r="E24" i="11"/>
  <c r="D25" i="11"/>
  <c r="E25" i="11"/>
  <c r="D26" i="11"/>
  <c r="E26" i="11"/>
  <c r="D27" i="11"/>
  <c r="E27" i="11"/>
  <c r="D28" i="11"/>
  <c r="E28" i="11"/>
  <c r="D29" i="11"/>
  <c r="E29" i="11"/>
  <c r="E30" i="11"/>
  <c r="U11" i="11"/>
  <c r="U12" i="11"/>
  <c r="U13" i="11"/>
  <c r="U14" i="11"/>
  <c r="U15" i="11"/>
  <c r="U16" i="11"/>
  <c r="U17" i="11"/>
  <c r="U18" i="11"/>
  <c r="U19" i="11"/>
  <c r="U20" i="11"/>
  <c r="U21" i="11"/>
  <c r="U22" i="11"/>
  <c r="U23" i="11"/>
  <c r="U24" i="11"/>
  <c r="U25" i="11"/>
  <c r="U26" i="11"/>
  <c r="U27" i="11"/>
  <c r="U28" i="11"/>
  <c r="U29" i="11"/>
  <c r="U30" i="11"/>
  <c r="V11" i="11"/>
  <c r="W11" i="11"/>
  <c r="F11" i="11"/>
  <c r="Y11" i="11"/>
  <c r="V12" i="11"/>
  <c r="W12" i="11"/>
  <c r="F12" i="11"/>
  <c r="Y12" i="11"/>
  <c r="V13" i="11"/>
  <c r="W13" i="11"/>
  <c r="F13" i="11"/>
  <c r="Y13" i="11"/>
  <c r="V14" i="11"/>
  <c r="W14" i="11"/>
  <c r="F14" i="11"/>
  <c r="Y14" i="11"/>
  <c r="V15" i="11"/>
  <c r="W15" i="11"/>
  <c r="F15" i="11"/>
  <c r="Y15" i="11"/>
  <c r="V16" i="11"/>
  <c r="W16" i="11"/>
  <c r="F16" i="11"/>
  <c r="Y16" i="11"/>
  <c r="V17" i="11"/>
  <c r="W17" i="11"/>
  <c r="F17" i="11"/>
  <c r="Y17" i="11"/>
  <c r="V18" i="11"/>
  <c r="W18" i="11"/>
  <c r="F18" i="11"/>
  <c r="Y18" i="11"/>
  <c r="V19" i="11"/>
  <c r="W19" i="11"/>
  <c r="F19" i="11"/>
  <c r="Y19" i="11"/>
  <c r="V20" i="11"/>
  <c r="W20" i="11"/>
  <c r="F20" i="11"/>
  <c r="Y20" i="11"/>
  <c r="V21" i="11"/>
  <c r="W21" i="11"/>
  <c r="F21" i="11"/>
  <c r="Y21" i="11"/>
  <c r="V22" i="11"/>
  <c r="W22" i="11"/>
  <c r="F22" i="11"/>
  <c r="Y22" i="11"/>
  <c r="V23" i="11"/>
  <c r="W23" i="11"/>
  <c r="F23" i="11"/>
  <c r="Y23" i="11"/>
  <c r="V24" i="11"/>
  <c r="W24" i="11"/>
  <c r="F24" i="11"/>
  <c r="Y24" i="11"/>
  <c r="V25" i="11"/>
  <c r="W25" i="11"/>
  <c r="F25" i="11"/>
  <c r="Y25" i="11"/>
  <c r="V26" i="11"/>
  <c r="W26" i="11"/>
  <c r="F26" i="11"/>
  <c r="Y26" i="11"/>
  <c r="V27" i="11"/>
  <c r="W27" i="11"/>
  <c r="F27" i="11"/>
  <c r="Y27" i="11"/>
  <c r="V28" i="11"/>
  <c r="W28" i="11"/>
  <c r="F28" i="11"/>
  <c r="Y28" i="11"/>
  <c r="V29" i="11"/>
  <c r="W29" i="11"/>
  <c r="F29" i="11"/>
  <c r="Y29" i="11"/>
  <c r="Y30" i="11"/>
  <c r="D30" i="11"/>
  <c r="W30" i="11"/>
  <c r="V30" i="11"/>
  <c r="S30" i="11"/>
  <c r="R30" i="11"/>
  <c r="O30" i="11"/>
  <c r="N30" i="11"/>
  <c r="K30" i="11"/>
  <c r="J30" i="11"/>
  <c r="F30" i="11"/>
  <c r="C30" i="11"/>
  <c r="B30" i="11"/>
  <c r="B5" i="11"/>
  <c r="Y8" i="9"/>
  <c r="B7" i="9"/>
  <c r="B8" i="9"/>
  <c r="G8" i="9"/>
  <c r="G12" i="9"/>
  <c r="H12" i="9"/>
  <c r="I12" i="9"/>
  <c r="G11" i="9"/>
  <c r="H11" i="9"/>
  <c r="I11" i="9"/>
  <c r="G13" i="9"/>
  <c r="H13" i="9"/>
  <c r="I13" i="9"/>
  <c r="G14" i="9"/>
  <c r="H14" i="9"/>
  <c r="I14" i="9"/>
  <c r="G15" i="9"/>
  <c r="H15" i="9"/>
  <c r="I15" i="9"/>
  <c r="G16" i="9"/>
  <c r="H16" i="9"/>
  <c r="I16" i="9"/>
  <c r="G17" i="9"/>
  <c r="H17" i="9"/>
  <c r="I17" i="9"/>
  <c r="G18" i="9"/>
  <c r="H18" i="9"/>
  <c r="I18" i="9"/>
  <c r="G19" i="9"/>
  <c r="H19" i="9"/>
  <c r="I19" i="9"/>
  <c r="G20" i="9"/>
  <c r="H20" i="9"/>
  <c r="I20" i="9"/>
  <c r="G21" i="9"/>
  <c r="H21" i="9"/>
  <c r="I21" i="9"/>
  <c r="G22" i="9"/>
  <c r="H22" i="9"/>
  <c r="I22" i="9"/>
  <c r="G23" i="9"/>
  <c r="H23" i="9"/>
  <c r="I23" i="9"/>
  <c r="G24" i="9"/>
  <c r="H24" i="9"/>
  <c r="I24" i="9"/>
  <c r="G25" i="9"/>
  <c r="H25" i="9"/>
  <c r="I25" i="9"/>
  <c r="G26" i="9"/>
  <c r="H26" i="9"/>
  <c r="I26" i="9"/>
  <c r="G27" i="9"/>
  <c r="H27" i="9"/>
  <c r="I27" i="9"/>
  <c r="G28" i="9"/>
  <c r="H28" i="9"/>
  <c r="I28" i="9"/>
  <c r="G29" i="9"/>
  <c r="H29" i="9"/>
  <c r="I29" i="9"/>
  <c r="I30" i="9"/>
  <c r="G30" i="9"/>
  <c r="H30" i="9"/>
  <c r="J8" i="9"/>
  <c r="J12" i="9"/>
  <c r="K12" i="9"/>
  <c r="L12" i="9"/>
  <c r="M12" i="9"/>
  <c r="J11" i="9"/>
  <c r="K11" i="9"/>
  <c r="L11" i="9"/>
  <c r="M11" i="9"/>
  <c r="J13" i="9"/>
  <c r="K13" i="9"/>
  <c r="L13" i="9"/>
  <c r="M13" i="9"/>
  <c r="J14" i="9"/>
  <c r="K14" i="9"/>
  <c r="L14" i="9"/>
  <c r="M14" i="9"/>
  <c r="J15" i="9"/>
  <c r="K15" i="9"/>
  <c r="L15" i="9"/>
  <c r="M15" i="9"/>
  <c r="J16" i="9"/>
  <c r="K16" i="9"/>
  <c r="L16" i="9"/>
  <c r="M16" i="9"/>
  <c r="J17" i="9"/>
  <c r="K17" i="9"/>
  <c r="L17" i="9"/>
  <c r="M17" i="9"/>
  <c r="J18" i="9"/>
  <c r="K18" i="9"/>
  <c r="L18" i="9"/>
  <c r="M18" i="9"/>
  <c r="J19" i="9"/>
  <c r="K19" i="9"/>
  <c r="L19" i="9"/>
  <c r="M19" i="9"/>
  <c r="J20" i="9"/>
  <c r="K20" i="9"/>
  <c r="L20" i="9"/>
  <c r="M20" i="9"/>
  <c r="J21" i="9"/>
  <c r="K21" i="9"/>
  <c r="L21" i="9"/>
  <c r="M21" i="9"/>
  <c r="J22" i="9"/>
  <c r="K22" i="9"/>
  <c r="L22" i="9"/>
  <c r="M22" i="9"/>
  <c r="J23" i="9"/>
  <c r="K23" i="9"/>
  <c r="L23" i="9"/>
  <c r="M23" i="9"/>
  <c r="J24" i="9"/>
  <c r="K24" i="9"/>
  <c r="L24" i="9"/>
  <c r="M24" i="9"/>
  <c r="J25" i="9"/>
  <c r="K25" i="9"/>
  <c r="L25" i="9"/>
  <c r="M25" i="9"/>
  <c r="J26" i="9"/>
  <c r="K26" i="9"/>
  <c r="L26" i="9"/>
  <c r="M26" i="9"/>
  <c r="J27" i="9"/>
  <c r="K27" i="9"/>
  <c r="L27" i="9"/>
  <c r="M27" i="9"/>
  <c r="J28" i="9"/>
  <c r="K28" i="9"/>
  <c r="L28" i="9"/>
  <c r="M28" i="9"/>
  <c r="J29" i="9"/>
  <c r="K29" i="9"/>
  <c r="L29" i="9"/>
  <c r="M29" i="9"/>
  <c r="M30" i="9"/>
  <c r="L30" i="9"/>
  <c r="N8" i="9"/>
  <c r="N12" i="9"/>
  <c r="O12" i="9"/>
  <c r="P12" i="9"/>
  <c r="Q12" i="9"/>
  <c r="N11" i="9"/>
  <c r="O11" i="9"/>
  <c r="P11" i="9"/>
  <c r="Q11" i="9"/>
  <c r="N13" i="9"/>
  <c r="O13" i="9"/>
  <c r="P13" i="9"/>
  <c r="Q13" i="9"/>
  <c r="N14" i="9"/>
  <c r="O14" i="9"/>
  <c r="P14" i="9"/>
  <c r="Q14" i="9"/>
  <c r="N15" i="9"/>
  <c r="O15" i="9"/>
  <c r="P15" i="9"/>
  <c r="Q15" i="9"/>
  <c r="N16" i="9"/>
  <c r="O16" i="9"/>
  <c r="P16" i="9"/>
  <c r="Q16" i="9"/>
  <c r="N17" i="9"/>
  <c r="O17" i="9"/>
  <c r="P17" i="9"/>
  <c r="Q17" i="9"/>
  <c r="N18" i="9"/>
  <c r="O18" i="9"/>
  <c r="P18" i="9"/>
  <c r="Q18" i="9"/>
  <c r="N19" i="9"/>
  <c r="O19" i="9"/>
  <c r="P19" i="9"/>
  <c r="Q19" i="9"/>
  <c r="N20" i="9"/>
  <c r="O20" i="9"/>
  <c r="P20" i="9"/>
  <c r="Q20" i="9"/>
  <c r="N21" i="9"/>
  <c r="O21" i="9"/>
  <c r="P21" i="9"/>
  <c r="Q21" i="9"/>
  <c r="N22" i="9"/>
  <c r="O22" i="9"/>
  <c r="P22" i="9"/>
  <c r="Q22" i="9"/>
  <c r="N23" i="9"/>
  <c r="O23" i="9"/>
  <c r="P23" i="9"/>
  <c r="Q23" i="9"/>
  <c r="N24" i="9"/>
  <c r="O24" i="9"/>
  <c r="P24" i="9"/>
  <c r="Q24" i="9"/>
  <c r="N25" i="9"/>
  <c r="O25" i="9"/>
  <c r="P25" i="9"/>
  <c r="Q25" i="9"/>
  <c r="N26" i="9"/>
  <c r="O26" i="9"/>
  <c r="P26" i="9"/>
  <c r="Q26" i="9"/>
  <c r="N27" i="9"/>
  <c r="O27" i="9"/>
  <c r="P27" i="9"/>
  <c r="Q27" i="9"/>
  <c r="N28" i="9"/>
  <c r="O28" i="9"/>
  <c r="P28" i="9"/>
  <c r="Q28" i="9"/>
  <c r="N29" i="9"/>
  <c r="O29" i="9"/>
  <c r="P29" i="9"/>
  <c r="Q29" i="9"/>
  <c r="Q30" i="9"/>
  <c r="P30" i="9"/>
  <c r="R8" i="9"/>
  <c r="R12" i="9"/>
  <c r="S12" i="9"/>
  <c r="T12" i="9"/>
  <c r="U12" i="9"/>
  <c r="R11" i="9"/>
  <c r="S11" i="9"/>
  <c r="T11" i="9"/>
  <c r="U11" i="9"/>
  <c r="R13" i="9"/>
  <c r="S13" i="9"/>
  <c r="T13" i="9"/>
  <c r="U13" i="9"/>
  <c r="R14" i="9"/>
  <c r="S14" i="9"/>
  <c r="T14" i="9"/>
  <c r="U14" i="9"/>
  <c r="R15" i="9"/>
  <c r="S15" i="9"/>
  <c r="T15" i="9"/>
  <c r="U15" i="9"/>
  <c r="R16" i="9"/>
  <c r="S16" i="9"/>
  <c r="T16" i="9"/>
  <c r="U16" i="9"/>
  <c r="R17" i="9"/>
  <c r="S17" i="9"/>
  <c r="T17" i="9"/>
  <c r="U17" i="9"/>
  <c r="R18" i="9"/>
  <c r="S18" i="9"/>
  <c r="T18" i="9"/>
  <c r="U18" i="9"/>
  <c r="R19" i="9"/>
  <c r="S19" i="9"/>
  <c r="T19" i="9"/>
  <c r="U19" i="9"/>
  <c r="R20" i="9"/>
  <c r="S20" i="9"/>
  <c r="T20" i="9"/>
  <c r="U20" i="9"/>
  <c r="R21" i="9"/>
  <c r="S21" i="9"/>
  <c r="T21" i="9"/>
  <c r="U21" i="9"/>
  <c r="R22" i="9"/>
  <c r="S22" i="9"/>
  <c r="T22" i="9"/>
  <c r="U22" i="9"/>
  <c r="R23" i="9"/>
  <c r="S23" i="9"/>
  <c r="T23" i="9"/>
  <c r="U23" i="9"/>
  <c r="R24" i="9"/>
  <c r="S24" i="9"/>
  <c r="T24" i="9"/>
  <c r="U24" i="9"/>
  <c r="R25" i="9"/>
  <c r="S25" i="9"/>
  <c r="T25" i="9"/>
  <c r="U25" i="9"/>
  <c r="R26" i="9"/>
  <c r="S26" i="9"/>
  <c r="T26" i="9"/>
  <c r="U26" i="9"/>
  <c r="R27" i="9"/>
  <c r="S27" i="9"/>
  <c r="T27" i="9"/>
  <c r="U27" i="9"/>
  <c r="R28" i="9"/>
  <c r="S28" i="9"/>
  <c r="T28" i="9"/>
  <c r="U28" i="9"/>
  <c r="R29" i="9"/>
  <c r="S29" i="9"/>
  <c r="T29" i="9"/>
  <c r="U29" i="9"/>
  <c r="U30" i="9"/>
  <c r="T30" i="9"/>
  <c r="V8" i="9"/>
  <c r="V12" i="9"/>
  <c r="W12" i="9"/>
  <c r="X12" i="9"/>
  <c r="Y12" i="9"/>
  <c r="V13" i="9"/>
  <c r="W13" i="9"/>
  <c r="X13" i="9"/>
  <c r="Y13" i="9"/>
  <c r="V14" i="9"/>
  <c r="W14" i="9"/>
  <c r="X14" i="9"/>
  <c r="Y14" i="9"/>
  <c r="V15" i="9"/>
  <c r="W15" i="9"/>
  <c r="X15" i="9"/>
  <c r="Y15" i="9"/>
  <c r="V16" i="9"/>
  <c r="W16" i="9"/>
  <c r="X16" i="9"/>
  <c r="Y16" i="9"/>
  <c r="V17" i="9"/>
  <c r="W17" i="9"/>
  <c r="X17" i="9"/>
  <c r="Y17" i="9"/>
  <c r="V18" i="9"/>
  <c r="W18" i="9"/>
  <c r="X18" i="9"/>
  <c r="Y18" i="9"/>
  <c r="V19" i="9"/>
  <c r="W19" i="9"/>
  <c r="X19" i="9"/>
  <c r="Y19" i="9"/>
  <c r="V20" i="9"/>
  <c r="W20" i="9"/>
  <c r="X20" i="9"/>
  <c r="Y20" i="9"/>
  <c r="V21" i="9"/>
  <c r="W21" i="9"/>
  <c r="X21" i="9"/>
  <c r="Y21" i="9"/>
  <c r="V22" i="9"/>
  <c r="W22" i="9"/>
  <c r="X22" i="9"/>
  <c r="Y22" i="9"/>
  <c r="V23" i="9"/>
  <c r="W23" i="9"/>
  <c r="X23" i="9"/>
  <c r="Y23" i="9"/>
  <c r="V24" i="9"/>
  <c r="W24" i="9"/>
  <c r="X24" i="9"/>
  <c r="Y24" i="9"/>
  <c r="V25" i="9"/>
  <c r="W25" i="9"/>
  <c r="X25" i="9"/>
  <c r="Y25" i="9"/>
  <c r="V26" i="9"/>
  <c r="W26" i="9"/>
  <c r="X26" i="9"/>
  <c r="Y26" i="9"/>
  <c r="V27" i="9"/>
  <c r="W27" i="9"/>
  <c r="X27" i="9"/>
  <c r="Y27" i="9"/>
  <c r="V28" i="9"/>
  <c r="W28" i="9"/>
  <c r="X28" i="9"/>
  <c r="Y28" i="9"/>
  <c r="V29" i="9"/>
  <c r="W29" i="9"/>
  <c r="X29" i="9"/>
  <c r="Y29" i="9"/>
  <c r="V11" i="9"/>
  <c r="W11" i="9"/>
  <c r="X11" i="9"/>
  <c r="Y11" i="9"/>
  <c r="Y30" i="9"/>
  <c r="W30" i="9"/>
  <c r="V30" i="9"/>
  <c r="B5" i="9"/>
  <c r="D11" i="9"/>
  <c r="E11" i="9"/>
  <c r="D12" i="9"/>
  <c r="E12" i="9"/>
  <c r="D13" i="9"/>
  <c r="E13" i="9"/>
  <c r="D14" i="9"/>
  <c r="E14" i="9"/>
  <c r="D15" i="9"/>
  <c r="E15" i="9"/>
  <c r="D16" i="9"/>
  <c r="E16" i="9"/>
  <c r="D17" i="9"/>
  <c r="E17" i="9"/>
  <c r="D18" i="9"/>
  <c r="E18" i="9"/>
  <c r="D19" i="9"/>
  <c r="E19" i="9"/>
  <c r="D20" i="9"/>
  <c r="E20" i="9"/>
  <c r="D21" i="9"/>
  <c r="E21" i="9"/>
  <c r="D22" i="9"/>
  <c r="E22" i="9"/>
  <c r="D23" i="9"/>
  <c r="E23" i="9"/>
  <c r="D24" i="9"/>
  <c r="E24" i="9"/>
  <c r="D25" i="9"/>
  <c r="E25" i="9"/>
  <c r="D26" i="9"/>
  <c r="E26" i="9"/>
  <c r="D27" i="9"/>
  <c r="E27" i="9"/>
  <c r="D28" i="9"/>
  <c r="E28" i="9"/>
  <c r="D29" i="9"/>
  <c r="E29" i="9"/>
  <c r="E30" i="9"/>
  <c r="D30" i="9"/>
  <c r="F11" i="9"/>
  <c r="F12" i="9"/>
  <c r="F13" i="9"/>
  <c r="F14" i="9"/>
  <c r="F15" i="9"/>
  <c r="F16" i="9"/>
  <c r="F17" i="9"/>
  <c r="F18" i="9"/>
  <c r="F19" i="9"/>
  <c r="F20" i="9"/>
  <c r="F21" i="9"/>
  <c r="F22" i="9"/>
  <c r="F23" i="9"/>
  <c r="F24" i="9"/>
  <c r="F25" i="9"/>
  <c r="F26" i="9"/>
  <c r="F27" i="9"/>
  <c r="F28" i="9"/>
  <c r="F29" i="9"/>
  <c r="X30" i="9"/>
  <c r="C30" i="9"/>
  <c r="D19" i="4"/>
  <c r="E19" i="4"/>
  <c r="G19" i="4"/>
  <c r="L19" i="5"/>
  <c r="D20" i="3"/>
  <c r="E20" i="3"/>
  <c r="F20" i="3"/>
  <c r="G20" i="3"/>
  <c r="H20" i="3"/>
  <c r="I20" i="3"/>
  <c r="J20" i="3"/>
  <c r="K20" i="3"/>
  <c r="L20" i="3"/>
  <c r="K28" i="1"/>
  <c r="O28" i="1"/>
  <c r="C2" i="5"/>
  <c r="D2" i="5"/>
  <c r="P2" i="3"/>
  <c r="E2" i="5"/>
  <c r="F2" i="5"/>
  <c r="G2" i="5"/>
  <c r="N2" i="3"/>
  <c r="N3" i="3"/>
  <c r="N4" i="3"/>
  <c r="N5" i="3"/>
  <c r="N6" i="3"/>
  <c r="N7" i="3"/>
  <c r="N8" i="3"/>
  <c r="N9" i="3"/>
  <c r="N10" i="3"/>
  <c r="N11" i="3"/>
  <c r="N12" i="3"/>
  <c r="N13" i="3"/>
  <c r="N14" i="3"/>
  <c r="N15" i="3"/>
  <c r="N16" i="3"/>
  <c r="N17" i="3"/>
  <c r="N18" i="3"/>
  <c r="N20" i="3"/>
  <c r="F20" i="4"/>
  <c r="G20" i="4"/>
  <c r="H20" i="4"/>
  <c r="H2" i="5"/>
  <c r="I2" i="5"/>
  <c r="J2" i="5"/>
  <c r="O2" i="3"/>
  <c r="Q2" i="3"/>
  <c r="F2" i="4"/>
  <c r="D2" i="4"/>
  <c r="E2" i="4"/>
  <c r="G2" i="4"/>
  <c r="L2" i="5"/>
  <c r="M2" i="5"/>
  <c r="N2" i="5"/>
  <c r="O2" i="5"/>
  <c r="P2" i="5"/>
  <c r="Q2" i="5"/>
  <c r="R2" i="5"/>
  <c r="S2" i="5"/>
  <c r="C3" i="5"/>
  <c r="D3" i="5"/>
  <c r="P3" i="3"/>
  <c r="E3" i="5"/>
  <c r="F3" i="5"/>
  <c r="G3" i="5"/>
  <c r="H3" i="5"/>
  <c r="I3" i="5"/>
  <c r="J3" i="5"/>
  <c r="O3" i="3"/>
  <c r="Q3" i="3"/>
  <c r="F3" i="4"/>
  <c r="D3" i="4"/>
  <c r="E3" i="4"/>
  <c r="G3" i="4"/>
  <c r="L3" i="5"/>
  <c r="M3" i="5"/>
  <c r="N3" i="5"/>
  <c r="O3" i="5"/>
  <c r="P3" i="5"/>
  <c r="Q3" i="5"/>
  <c r="R3" i="5"/>
  <c r="S3" i="5"/>
  <c r="C4" i="5"/>
  <c r="D4" i="5"/>
  <c r="P4" i="3"/>
  <c r="E4" i="5"/>
  <c r="F4" i="5"/>
  <c r="G4" i="5"/>
  <c r="H4" i="5"/>
  <c r="I4" i="5"/>
  <c r="J4" i="5"/>
  <c r="O4" i="3"/>
  <c r="Q4" i="3"/>
  <c r="F4" i="4"/>
  <c r="D4" i="4"/>
  <c r="E4" i="4"/>
  <c r="G4" i="4"/>
  <c r="L4" i="5"/>
  <c r="M4" i="5"/>
  <c r="N4" i="5"/>
  <c r="O4" i="5"/>
  <c r="P4" i="5"/>
  <c r="Q4" i="5"/>
  <c r="R4" i="5"/>
  <c r="S4" i="5"/>
  <c r="C5" i="5"/>
  <c r="D5" i="5"/>
  <c r="P5" i="3"/>
  <c r="E5" i="5"/>
  <c r="F5" i="5"/>
  <c r="G5" i="5"/>
  <c r="H5" i="5"/>
  <c r="I5" i="5"/>
  <c r="J5" i="5"/>
  <c r="O5" i="3"/>
  <c r="Q5" i="3"/>
  <c r="F5" i="4"/>
  <c r="D5" i="4"/>
  <c r="E5" i="4"/>
  <c r="G5" i="4"/>
  <c r="L5" i="5"/>
  <c r="M5" i="5"/>
  <c r="N5" i="5"/>
  <c r="O5" i="5"/>
  <c r="P5" i="5"/>
  <c r="Q5" i="5"/>
  <c r="R5" i="5"/>
  <c r="S5" i="5"/>
  <c r="C6" i="5"/>
  <c r="D6" i="5"/>
  <c r="P6" i="3"/>
  <c r="E6" i="5"/>
  <c r="F6" i="5"/>
  <c r="G6" i="5"/>
  <c r="H6" i="5"/>
  <c r="I6" i="5"/>
  <c r="J6" i="5"/>
  <c r="O6" i="3"/>
  <c r="Q6" i="3"/>
  <c r="F6" i="4"/>
  <c r="D6" i="4"/>
  <c r="E6" i="4"/>
  <c r="G6" i="4"/>
  <c r="L6" i="5"/>
  <c r="M6" i="5"/>
  <c r="N6" i="5"/>
  <c r="O6" i="5"/>
  <c r="P6" i="5"/>
  <c r="Q6" i="5"/>
  <c r="R6" i="5"/>
  <c r="S6" i="5"/>
  <c r="C7" i="5"/>
  <c r="D7" i="5"/>
  <c r="P7" i="3"/>
  <c r="E7" i="5"/>
  <c r="F7" i="5"/>
  <c r="G7" i="5"/>
  <c r="H7" i="5"/>
  <c r="I7" i="5"/>
  <c r="J7" i="5"/>
  <c r="O7" i="3"/>
  <c r="Q7" i="3"/>
  <c r="F7" i="4"/>
  <c r="D7" i="4"/>
  <c r="E7" i="4"/>
  <c r="G7" i="4"/>
  <c r="L7" i="5"/>
  <c r="M7" i="5"/>
  <c r="N7" i="5"/>
  <c r="O7" i="5"/>
  <c r="P7" i="5"/>
  <c r="Q7" i="5"/>
  <c r="R7" i="5"/>
  <c r="S7" i="5"/>
  <c r="C8" i="5"/>
  <c r="D8" i="5"/>
  <c r="P8" i="3"/>
  <c r="E8" i="5"/>
  <c r="F8" i="5"/>
  <c r="G8" i="5"/>
  <c r="H8" i="5"/>
  <c r="I8" i="5"/>
  <c r="J8" i="5"/>
  <c r="O8" i="3"/>
  <c r="Q8" i="3"/>
  <c r="F8" i="4"/>
  <c r="D8" i="4"/>
  <c r="E8" i="4"/>
  <c r="G8" i="4"/>
  <c r="L8" i="5"/>
  <c r="M8" i="5"/>
  <c r="N8" i="5"/>
  <c r="O8" i="5"/>
  <c r="P8" i="5"/>
  <c r="Q8" i="5"/>
  <c r="R8" i="5"/>
  <c r="S8" i="5"/>
  <c r="C9" i="5"/>
  <c r="D9" i="5"/>
  <c r="P9" i="3"/>
  <c r="E9" i="5"/>
  <c r="F9" i="5"/>
  <c r="G9" i="5"/>
  <c r="H9" i="5"/>
  <c r="I9" i="5"/>
  <c r="J9" i="5"/>
  <c r="O9" i="3"/>
  <c r="Q9" i="3"/>
  <c r="F9" i="4"/>
  <c r="D9" i="4"/>
  <c r="E9" i="4"/>
  <c r="G9" i="4"/>
  <c r="L9" i="5"/>
  <c r="M9" i="5"/>
  <c r="N9" i="5"/>
  <c r="O9" i="5"/>
  <c r="P9" i="5"/>
  <c r="Q9" i="5"/>
  <c r="R9" i="5"/>
  <c r="S9" i="5"/>
  <c r="C10" i="5"/>
  <c r="D10" i="5"/>
  <c r="P10" i="3"/>
  <c r="E10" i="5"/>
  <c r="F10" i="5"/>
  <c r="G10" i="5"/>
  <c r="H10" i="5"/>
  <c r="I10" i="5"/>
  <c r="J10" i="5"/>
  <c r="O10" i="3"/>
  <c r="Q10" i="3"/>
  <c r="F10" i="4"/>
  <c r="D10" i="4"/>
  <c r="E10" i="4"/>
  <c r="G10" i="4"/>
  <c r="L10" i="5"/>
  <c r="M10" i="5"/>
  <c r="N10" i="5"/>
  <c r="O10" i="5"/>
  <c r="P10" i="5"/>
  <c r="Q10" i="5"/>
  <c r="R10" i="5"/>
  <c r="S10" i="5"/>
  <c r="C11" i="5"/>
  <c r="D11" i="5"/>
  <c r="P11" i="3"/>
  <c r="E11" i="5"/>
  <c r="F11" i="5"/>
  <c r="G11" i="5"/>
  <c r="H11" i="5"/>
  <c r="I11" i="5"/>
  <c r="J11" i="5"/>
  <c r="O11" i="3"/>
  <c r="Q11" i="3"/>
  <c r="F11" i="4"/>
  <c r="D11" i="4"/>
  <c r="E11" i="4"/>
  <c r="G11" i="4"/>
  <c r="L11" i="5"/>
  <c r="M11" i="5"/>
  <c r="N11" i="5"/>
  <c r="O11" i="5"/>
  <c r="P11" i="5"/>
  <c r="Q11" i="5"/>
  <c r="R11" i="5"/>
  <c r="S11" i="5"/>
  <c r="C12" i="5"/>
  <c r="D12" i="5"/>
  <c r="P12" i="3"/>
  <c r="E12" i="5"/>
  <c r="F12" i="5"/>
  <c r="G12" i="5"/>
  <c r="H12" i="5"/>
  <c r="I12" i="5"/>
  <c r="J12" i="5"/>
  <c r="O12" i="3"/>
  <c r="Q12" i="3"/>
  <c r="F12" i="4"/>
  <c r="D12" i="4"/>
  <c r="E12" i="4"/>
  <c r="G12" i="4"/>
  <c r="L12" i="5"/>
  <c r="M12" i="5"/>
  <c r="N12" i="5"/>
  <c r="O12" i="5"/>
  <c r="P12" i="5"/>
  <c r="Q12" i="5"/>
  <c r="R12" i="5"/>
  <c r="S12" i="5"/>
  <c r="C13" i="5"/>
  <c r="D13" i="5"/>
  <c r="P13" i="3"/>
  <c r="E13" i="5"/>
  <c r="F13" i="5"/>
  <c r="G13" i="5"/>
  <c r="H13" i="5"/>
  <c r="I13" i="5"/>
  <c r="J13" i="5"/>
  <c r="O13" i="3"/>
  <c r="Q13" i="3"/>
  <c r="F13" i="4"/>
  <c r="D13" i="4"/>
  <c r="E13" i="4"/>
  <c r="G13" i="4"/>
  <c r="L13" i="5"/>
  <c r="M13" i="5"/>
  <c r="N13" i="5"/>
  <c r="O13" i="5"/>
  <c r="P13" i="5"/>
  <c r="Q13" i="5"/>
  <c r="R13" i="5"/>
  <c r="S13" i="5"/>
  <c r="C14" i="5"/>
  <c r="D14" i="5"/>
  <c r="P14" i="3"/>
  <c r="E14" i="5"/>
  <c r="F14" i="5"/>
  <c r="G14" i="5"/>
  <c r="H14" i="5"/>
  <c r="I14" i="5"/>
  <c r="J14" i="5"/>
  <c r="O14" i="3"/>
  <c r="Q14" i="3"/>
  <c r="F14" i="4"/>
  <c r="D14" i="4"/>
  <c r="E14" i="4"/>
  <c r="G14" i="4"/>
  <c r="L14" i="5"/>
  <c r="M14" i="5"/>
  <c r="N14" i="5"/>
  <c r="O14" i="5"/>
  <c r="P14" i="5"/>
  <c r="Q14" i="5"/>
  <c r="R14" i="5"/>
  <c r="S14" i="5"/>
  <c r="C15" i="5"/>
  <c r="D15" i="5"/>
  <c r="P15" i="3"/>
  <c r="E15" i="5"/>
  <c r="F15" i="5"/>
  <c r="G15" i="5"/>
  <c r="H15" i="5"/>
  <c r="I15" i="5"/>
  <c r="J15" i="5"/>
  <c r="O15" i="3"/>
  <c r="Q15" i="3"/>
  <c r="F15" i="4"/>
  <c r="D15" i="4"/>
  <c r="E15" i="4"/>
  <c r="G15" i="4"/>
  <c r="L15" i="5"/>
  <c r="M15" i="5"/>
  <c r="N15" i="5"/>
  <c r="O15" i="5"/>
  <c r="P15" i="5"/>
  <c r="Q15" i="5"/>
  <c r="R15" i="5"/>
  <c r="S15" i="5"/>
  <c r="C16" i="5"/>
  <c r="D16" i="5"/>
  <c r="P16" i="3"/>
  <c r="E16" i="5"/>
  <c r="F16" i="5"/>
  <c r="G16" i="5"/>
  <c r="H16" i="5"/>
  <c r="I16" i="5"/>
  <c r="J16" i="5"/>
  <c r="O16" i="3"/>
  <c r="Q16" i="3"/>
  <c r="F16" i="4"/>
  <c r="D16" i="4"/>
  <c r="E16" i="4"/>
  <c r="G16" i="4"/>
  <c r="L16" i="5"/>
  <c r="M16" i="5"/>
  <c r="N16" i="5"/>
  <c r="O16" i="5"/>
  <c r="P16" i="5"/>
  <c r="Q16" i="5"/>
  <c r="R16" i="5"/>
  <c r="S16" i="5"/>
  <c r="C17" i="5"/>
  <c r="D17" i="5"/>
  <c r="P17" i="3"/>
  <c r="E17" i="5"/>
  <c r="F17" i="5"/>
  <c r="G17" i="5"/>
  <c r="H17" i="5"/>
  <c r="I17" i="5"/>
  <c r="J17" i="5"/>
  <c r="O17" i="3"/>
  <c r="Q17" i="3"/>
  <c r="F17" i="4"/>
  <c r="D17" i="4"/>
  <c r="E17" i="4"/>
  <c r="G17" i="4"/>
  <c r="L17" i="5"/>
  <c r="M17" i="5"/>
  <c r="N17" i="5"/>
  <c r="O17" i="5"/>
  <c r="P17" i="5"/>
  <c r="Q17" i="5"/>
  <c r="R17" i="5"/>
  <c r="S17" i="5"/>
  <c r="C18" i="5"/>
  <c r="D18" i="5"/>
  <c r="P18" i="3"/>
  <c r="E18" i="5"/>
  <c r="F18" i="5"/>
  <c r="G18" i="5"/>
  <c r="H18" i="5"/>
  <c r="I18" i="5"/>
  <c r="J18" i="5"/>
  <c r="O18" i="3"/>
  <c r="Q18" i="3"/>
  <c r="F18" i="4"/>
  <c r="D18" i="4"/>
  <c r="E18" i="4"/>
  <c r="G18" i="4"/>
  <c r="L18" i="5"/>
  <c r="M18" i="5"/>
  <c r="N18" i="5"/>
  <c r="O18" i="5"/>
  <c r="P18" i="5"/>
  <c r="Q18" i="5"/>
  <c r="R18" i="5"/>
  <c r="S18" i="5"/>
  <c r="C19" i="5"/>
  <c r="D19" i="5"/>
  <c r="P19" i="3"/>
  <c r="E19" i="5"/>
  <c r="F19" i="5"/>
  <c r="G19" i="5"/>
  <c r="I19" i="5"/>
  <c r="J19" i="5"/>
  <c r="Q19" i="3"/>
  <c r="F19" i="4"/>
  <c r="M19" i="5"/>
  <c r="N19" i="5"/>
  <c r="O19" i="5"/>
  <c r="P19" i="5"/>
  <c r="Q19" i="5"/>
  <c r="R19" i="5"/>
  <c r="S19" i="5"/>
  <c r="I20" i="5"/>
  <c r="J20" i="5"/>
  <c r="L20" i="5"/>
  <c r="M20" i="5"/>
  <c r="N20" i="5"/>
  <c r="O20" i="5"/>
  <c r="P20" i="5"/>
  <c r="Q20" i="5"/>
  <c r="R20" i="5"/>
  <c r="S20" i="5"/>
  <c r="T2" i="5"/>
  <c r="U2" i="5"/>
  <c r="V2" i="5"/>
  <c r="W2" i="5"/>
  <c r="T3" i="5"/>
  <c r="U3" i="5"/>
  <c r="V3" i="5"/>
  <c r="W3" i="5"/>
  <c r="T4" i="5"/>
  <c r="U4" i="5"/>
  <c r="V4" i="5"/>
  <c r="W4" i="5"/>
  <c r="T5" i="5"/>
  <c r="U5" i="5"/>
  <c r="V5" i="5"/>
  <c r="W5" i="5"/>
  <c r="T6" i="5"/>
  <c r="U6" i="5"/>
  <c r="V6" i="5"/>
  <c r="W6" i="5"/>
  <c r="T7" i="5"/>
  <c r="U7" i="5"/>
  <c r="V7" i="5"/>
  <c r="W7" i="5"/>
  <c r="T8" i="5"/>
  <c r="U8" i="5"/>
  <c r="V8" i="5"/>
  <c r="W8" i="5"/>
  <c r="T9" i="5"/>
  <c r="U9" i="5"/>
  <c r="V9" i="5"/>
  <c r="W9" i="5"/>
  <c r="T10" i="5"/>
  <c r="U10" i="5"/>
  <c r="V10" i="5"/>
  <c r="W10" i="5"/>
  <c r="T11" i="5"/>
  <c r="U11" i="5"/>
  <c r="V11" i="5"/>
  <c r="W11" i="5"/>
  <c r="T12" i="5"/>
  <c r="U12" i="5"/>
  <c r="V12" i="5"/>
  <c r="W12" i="5"/>
  <c r="T13" i="5"/>
  <c r="U13" i="5"/>
  <c r="V13" i="5"/>
  <c r="W13" i="5"/>
  <c r="T14" i="5"/>
  <c r="U14" i="5"/>
  <c r="V14" i="5"/>
  <c r="W14" i="5"/>
  <c r="T15" i="5"/>
  <c r="U15" i="5"/>
  <c r="V15" i="5"/>
  <c r="W15" i="5"/>
  <c r="T16" i="5"/>
  <c r="U16" i="5"/>
  <c r="V16" i="5"/>
  <c r="W16" i="5"/>
  <c r="T17" i="5"/>
  <c r="U17" i="5"/>
  <c r="V17" i="5"/>
  <c r="W17" i="5"/>
  <c r="T18" i="5"/>
  <c r="U18" i="5"/>
  <c r="V18" i="5"/>
  <c r="W18" i="5"/>
  <c r="T19" i="5"/>
  <c r="U19" i="5"/>
  <c r="V19" i="5"/>
  <c r="W19" i="5"/>
  <c r="T20" i="5"/>
  <c r="U20" i="5"/>
  <c r="V20" i="5"/>
  <c r="W20" i="5"/>
  <c r="X2" i="5"/>
  <c r="Y2" i="5"/>
  <c r="Z2" i="5"/>
  <c r="AA2" i="5"/>
  <c r="X3" i="5"/>
  <c r="Y3" i="5"/>
  <c r="Z3" i="5"/>
  <c r="AA3" i="5"/>
  <c r="X4" i="5"/>
  <c r="Y4" i="5"/>
  <c r="Z4" i="5"/>
  <c r="AA4" i="5"/>
  <c r="X5" i="5"/>
  <c r="Y5" i="5"/>
  <c r="Z5" i="5"/>
  <c r="AA5" i="5"/>
  <c r="X6" i="5"/>
  <c r="Y6" i="5"/>
  <c r="Z6" i="5"/>
  <c r="AA6" i="5"/>
  <c r="X7" i="5"/>
  <c r="Y7" i="5"/>
  <c r="Z7" i="5"/>
  <c r="AA7" i="5"/>
  <c r="X8" i="5"/>
  <c r="Y8" i="5"/>
  <c r="Z8" i="5"/>
  <c r="AA8" i="5"/>
  <c r="X9" i="5"/>
  <c r="Y9" i="5"/>
  <c r="Z9" i="5"/>
  <c r="AA9" i="5"/>
  <c r="X10" i="5"/>
  <c r="Y10" i="5"/>
  <c r="Z10" i="5"/>
  <c r="AA10" i="5"/>
  <c r="X11" i="5"/>
  <c r="Y11" i="5"/>
  <c r="Z11" i="5"/>
  <c r="AA11" i="5"/>
  <c r="X12" i="5"/>
  <c r="Y12" i="5"/>
  <c r="Z12" i="5"/>
  <c r="AA12" i="5"/>
  <c r="X13" i="5"/>
  <c r="Y13" i="5"/>
  <c r="Z13" i="5"/>
  <c r="AA13" i="5"/>
  <c r="X14" i="5"/>
  <c r="Y14" i="5"/>
  <c r="Z14" i="5"/>
  <c r="AA14" i="5"/>
  <c r="X15" i="5"/>
  <c r="Y15" i="5"/>
  <c r="Z15" i="5"/>
  <c r="AA15" i="5"/>
  <c r="X16" i="5"/>
  <c r="Y16" i="5"/>
  <c r="Z16" i="5"/>
  <c r="AA16" i="5"/>
  <c r="X17" i="5"/>
  <c r="Y17" i="5"/>
  <c r="Z17" i="5"/>
  <c r="AA17" i="5"/>
  <c r="X18" i="5"/>
  <c r="Y18" i="5"/>
  <c r="Z18" i="5"/>
  <c r="AA18" i="5"/>
  <c r="X19" i="5"/>
  <c r="Y19" i="5"/>
  <c r="Z19" i="5"/>
  <c r="AA19" i="5"/>
  <c r="X20" i="5"/>
  <c r="Y20" i="5"/>
  <c r="Z20" i="5"/>
  <c r="AA20" i="5"/>
  <c r="AB2" i="5"/>
  <c r="AC2" i="5"/>
  <c r="I20" i="4"/>
  <c r="J20" i="4"/>
  <c r="AB3" i="5"/>
  <c r="AC3" i="5"/>
  <c r="AB4" i="5"/>
  <c r="AC4" i="5"/>
  <c r="AB5" i="5"/>
  <c r="AC5" i="5"/>
  <c r="AB6" i="5"/>
  <c r="AC6" i="5"/>
  <c r="AB7" i="5"/>
  <c r="AC7" i="5"/>
  <c r="AB8" i="5"/>
  <c r="AC8" i="5"/>
  <c r="AB9" i="5"/>
  <c r="AC9" i="5"/>
  <c r="AB10" i="5"/>
  <c r="AC10" i="5"/>
  <c r="AB11" i="5"/>
  <c r="AC11" i="5"/>
  <c r="AB12" i="5"/>
  <c r="AC12" i="5"/>
  <c r="AB13" i="5"/>
  <c r="AC13" i="5"/>
  <c r="AB14" i="5"/>
  <c r="AC14" i="5"/>
  <c r="AB15" i="5"/>
  <c r="AC15" i="5"/>
  <c r="AB16" i="5"/>
  <c r="AC16" i="5"/>
  <c r="AB17" i="5"/>
  <c r="AC17" i="5"/>
  <c r="AB18" i="5"/>
  <c r="AC18" i="5"/>
  <c r="AB19" i="5"/>
  <c r="AC19" i="5"/>
  <c r="AB20" i="5"/>
  <c r="AC20" i="5"/>
  <c r="N28" i="1"/>
  <c r="M28" i="1"/>
  <c r="L28" i="1"/>
  <c r="J21" i="5"/>
  <c r="H20" i="5"/>
  <c r="H19" i="5"/>
  <c r="F20" i="5"/>
  <c r="H3" i="4"/>
  <c r="I3" i="4"/>
  <c r="H4" i="4"/>
  <c r="I4" i="4"/>
  <c r="H5" i="4"/>
  <c r="I5" i="4"/>
  <c r="H6" i="4"/>
  <c r="I6" i="4"/>
  <c r="H7" i="4"/>
  <c r="I7" i="4"/>
  <c r="H8" i="4"/>
  <c r="I8" i="4"/>
  <c r="H9" i="4"/>
  <c r="I9" i="4"/>
  <c r="H10" i="4"/>
  <c r="I10" i="4"/>
  <c r="H11" i="4"/>
  <c r="I11" i="4"/>
  <c r="H12" i="4"/>
  <c r="I12" i="4"/>
  <c r="H13" i="4"/>
  <c r="I13" i="4"/>
  <c r="H14" i="4"/>
  <c r="I14" i="4"/>
  <c r="H15" i="4"/>
  <c r="I15" i="4"/>
  <c r="H16" i="4"/>
  <c r="I16" i="4"/>
  <c r="H17" i="4"/>
  <c r="I17" i="4"/>
  <c r="H18" i="4"/>
  <c r="I18" i="4"/>
  <c r="H19" i="4"/>
  <c r="I19" i="4"/>
  <c r="H2" i="4"/>
  <c r="I2" i="4"/>
  <c r="J3" i="4"/>
  <c r="J4" i="4"/>
  <c r="J5" i="4"/>
  <c r="J6" i="4"/>
  <c r="J7" i="4"/>
  <c r="J8" i="4"/>
  <c r="J9" i="4"/>
  <c r="J10" i="4"/>
  <c r="J11" i="4"/>
  <c r="J12" i="4"/>
  <c r="J13" i="4"/>
  <c r="J14" i="4"/>
  <c r="J15" i="4"/>
  <c r="J16" i="4"/>
  <c r="J17" i="4"/>
  <c r="J18" i="4"/>
  <c r="J19" i="4"/>
  <c r="J2" i="4"/>
  <c r="E20" i="4"/>
  <c r="Q20" i="3"/>
  <c r="P20" i="3"/>
  <c r="O20" i="3"/>
  <c r="C25" i="4"/>
  <c r="D21" i="4"/>
  <c r="M3" i="3"/>
  <c r="M4" i="3"/>
  <c r="M5" i="3"/>
  <c r="M6" i="3"/>
  <c r="M7" i="3"/>
  <c r="M8" i="3"/>
  <c r="M9" i="3"/>
  <c r="M10" i="3"/>
  <c r="M11" i="3"/>
  <c r="M12" i="3"/>
  <c r="M13" i="3"/>
  <c r="M14" i="3"/>
  <c r="M15" i="3"/>
  <c r="M16" i="3"/>
  <c r="M17" i="3"/>
  <c r="M18" i="3"/>
  <c r="M2" i="3"/>
  <c r="L3" i="3"/>
  <c r="L4" i="3"/>
  <c r="L5" i="3"/>
  <c r="L6" i="3"/>
  <c r="L7" i="3"/>
  <c r="L8" i="3"/>
  <c r="L9" i="3"/>
  <c r="L10" i="3"/>
  <c r="L11" i="3"/>
  <c r="L12" i="3"/>
  <c r="L13" i="3"/>
  <c r="L14" i="3"/>
  <c r="L15" i="3"/>
  <c r="L16" i="3"/>
  <c r="L17" i="3"/>
  <c r="L18" i="3"/>
  <c r="L19" i="3"/>
  <c r="L2" i="3"/>
  <c r="C20" i="3"/>
  <c r="R28" i="1"/>
  <c r="L28" i="2"/>
  <c r="K28" i="2"/>
  <c r="N30" i="9"/>
  <c r="O30" i="9"/>
  <c r="R30" i="9"/>
  <c r="S30" i="9"/>
  <c r="J30" i="9"/>
  <c r="K30" i="9"/>
  <c r="F30" i="9"/>
  <c r="B30" i="9"/>
</calcChain>
</file>

<file path=xl/comments1.xml><?xml version="1.0" encoding="utf-8"?>
<comments xmlns="http://schemas.openxmlformats.org/spreadsheetml/2006/main">
  <authors>
    <author>Author</author>
  </authors>
  <commentList>
    <comment ref="C2" authorId="0">
      <text>
        <r>
          <rPr>
            <b/>
            <sz val="9"/>
            <color indexed="81"/>
            <rFont val="Tahoma"/>
            <family val="2"/>
          </rPr>
          <t>Author:</t>
        </r>
        <r>
          <rPr>
            <sz val="9"/>
            <color indexed="81"/>
            <rFont val="Tahoma"/>
            <family val="2"/>
          </rPr>
          <t xml:space="preserve">
In Column C Nevada should add in actual 5 to 17 counts of children who live in Census LEA and attend charter LEA.  I derived off of 19,148 total based on poverty share.</t>
        </r>
      </text>
    </comment>
  </commentList>
</comments>
</file>

<file path=xl/comments2.xml><?xml version="1.0" encoding="utf-8"?>
<comments xmlns="http://schemas.openxmlformats.org/spreadsheetml/2006/main">
  <authors>
    <author>Author</author>
  </authors>
  <commentList>
    <comment ref="K1" authorId="0">
      <text>
        <r>
          <rPr>
            <b/>
            <sz val="9"/>
            <color indexed="81"/>
            <rFont val="Tahoma"/>
            <family val="2"/>
          </rPr>
          <t>Author:</t>
        </r>
        <r>
          <rPr>
            <sz val="9"/>
            <color indexed="81"/>
            <rFont val="Tahoma"/>
            <family val="2"/>
          </rPr>
          <t xml:space="preserve">
Note to Nevada: these figures pulled from Column F in "HH" Tab from your spreadsheet.  Please make sure these figures are based on second revised SY 2014-2015 allocations issed by ED in Frebruary 2015.</t>
        </r>
      </text>
    </comment>
  </commentList>
</comments>
</file>

<file path=xl/sharedStrings.xml><?xml version="1.0" encoding="utf-8"?>
<sst xmlns="http://schemas.openxmlformats.org/spreadsheetml/2006/main" count="426" uniqueCount="160">
  <si>
    <t>h</t>
  </si>
  <si>
    <t>TOTAL</t>
  </si>
  <si>
    <t>OF TOTAL</t>
  </si>
  <si>
    <t>FORMULA</t>
  </si>
  <si>
    <t>5-17</t>
  </si>
  <si>
    <t>PERCENT</t>
  </si>
  <si>
    <t>BASIC</t>
  </si>
  <si>
    <t>CONC.</t>
  </si>
  <si>
    <t>TARGETED</t>
  </si>
  <si>
    <t>EFIG</t>
  </si>
  <si>
    <t>TITLE I</t>
  </si>
  <si>
    <t>RESIDENT</t>
  </si>
  <si>
    <t>SCODE</t>
  </si>
  <si>
    <t>STATE CODE</t>
  </si>
  <si>
    <t>LEAID</t>
  </si>
  <si>
    <t>(LEA)</t>
  </si>
  <si>
    <t>COUNT</t>
  </si>
  <si>
    <t>POP.</t>
  </si>
  <si>
    <t>ALLOCATION</t>
  </si>
  <si>
    <t xml:space="preserve">STATE </t>
  </si>
  <si>
    <t>2014-15</t>
  </si>
  <si>
    <t>LOCAL EDUCATIONAL AGENCY</t>
  </si>
  <si>
    <t>UNWEIGHTED</t>
  </si>
  <si>
    <t>WEIGHTED</t>
  </si>
  <si>
    <t>&amp; EFIG</t>
  </si>
  <si>
    <t>COUNTS</t>
  </si>
  <si>
    <t>SORT C</t>
  </si>
  <si>
    <t>STATE C</t>
  </si>
  <si>
    <t>POVERTY</t>
  </si>
  <si>
    <t>NEG</t>
  </si>
  <si>
    <t>DEL</t>
  </si>
  <si>
    <t>FOSTER</t>
  </si>
  <si>
    <t>TANF</t>
  </si>
  <si>
    <t>ELIGIBLES</t>
  </si>
  <si>
    <t>STATE TOTAL</t>
  </si>
  <si>
    <t xml:space="preserve"> *  Greater than or equal to 20,000 total residents</t>
  </si>
  <si>
    <t xml:space="preserve"> </t>
  </si>
  <si>
    <t>*= &gt;=20,000</t>
  </si>
  <si>
    <t>2015-16</t>
  </si>
  <si>
    <t>PERCENTAGE</t>
  </si>
  <si>
    <t>NEVADA</t>
  </si>
  <si>
    <t>Carson City School District</t>
  </si>
  <si>
    <t>Churchill County School District</t>
  </si>
  <si>
    <t>Clark County School District</t>
  </si>
  <si>
    <t>Douglas County School District</t>
  </si>
  <si>
    <t>Elko County School District</t>
  </si>
  <si>
    <t>Esmeralda County School District</t>
  </si>
  <si>
    <t>Eureka County School District</t>
  </si>
  <si>
    <t>Humboldt County School District</t>
  </si>
  <si>
    <t>Lander County School District</t>
  </si>
  <si>
    <t>Lincoln County School District</t>
  </si>
  <si>
    <t>Lyon County School District</t>
  </si>
  <si>
    <t>Mineral County School District</t>
  </si>
  <si>
    <t>Nye County School District</t>
  </si>
  <si>
    <t>Pershing County School District</t>
  </si>
  <si>
    <t>Storey County School District</t>
  </si>
  <si>
    <t>Washoe County School District</t>
  </si>
  <si>
    <t>White Pine County School District</t>
  </si>
  <si>
    <t>Undistributed</t>
  </si>
  <si>
    <t>PART D SUBPART 2</t>
  </si>
  <si>
    <t>LEA</t>
  </si>
  <si>
    <t>Census</t>
  </si>
  <si>
    <t>Neg</t>
  </si>
  <si>
    <t>Del</t>
  </si>
  <si>
    <t>Foster</t>
  </si>
  <si>
    <t>Total</t>
  </si>
  <si>
    <t>5to17</t>
  </si>
  <si>
    <t>Census LEA FRPL</t>
  </si>
  <si>
    <t xml:space="preserve">FRPL in Charter LEA </t>
  </si>
  <si>
    <t>Number of FRPL Living in Census LEAs</t>
  </si>
  <si>
    <t>Percentage of FRPL in Charter LEA</t>
  </si>
  <si>
    <t>Derived Number of Census Poverty Children to Charter LEA</t>
  </si>
  <si>
    <t>Adjusted Census Number for Census LEA</t>
  </si>
  <si>
    <t>Other Formula Children for Census LEA</t>
  </si>
  <si>
    <t>Charter LEA</t>
  </si>
  <si>
    <t>Ages 5 to 17</t>
  </si>
  <si>
    <t>Charter Total Enrollment</t>
  </si>
  <si>
    <t>Check</t>
  </si>
  <si>
    <t xml:space="preserve">*Nevada </t>
  </si>
  <si>
    <t>Adjusted Ages 5 to 17 Population</t>
  </si>
  <si>
    <t>Estimate of Formula Children For Census and Charter LEAs</t>
  </si>
  <si>
    <t>Total Number of Formula Children</t>
  </si>
  <si>
    <t>Total Number of Formula Children for Census LEA</t>
  </si>
  <si>
    <t>Percentage of Formula Children</t>
  </si>
  <si>
    <t>Eligible for Basic Grants</t>
  </si>
  <si>
    <t>Eligible for Concentration Grants</t>
  </si>
  <si>
    <t>Eligible for Targeted/EFIG Grants</t>
  </si>
  <si>
    <t>Census Poverty Children</t>
  </si>
  <si>
    <t>Other Formula Children</t>
  </si>
  <si>
    <t>Amount Per Formula Child</t>
  </si>
  <si>
    <t>Placeholder Derived Ages 5 to 17 Living in Census LEA and Attending Charter LEA*</t>
  </si>
  <si>
    <t>Basic Grant Amount Transfering from Census LEAs to Charter LEA</t>
  </si>
  <si>
    <t>Adjusted Basic Grants Allocation Prior to Hold Harmless</t>
  </si>
  <si>
    <t>SY 2015-2016 ED-Determined Basic Grants</t>
  </si>
  <si>
    <t>SY 2014-2015 Basic After Hold Harmless and Before School Improvement</t>
  </si>
  <si>
    <t>85 Percent Hold Harmless</t>
  </si>
  <si>
    <t>90 Percent Hold Harmless</t>
  </si>
  <si>
    <t>95 Percent Hold Harmless</t>
  </si>
  <si>
    <t>Hold Harmless Amount</t>
  </si>
  <si>
    <t>Allocations to LEAs Above Hold harmless</t>
  </si>
  <si>
    <t>First Iteration: Hold Harmless Check</t>
  </si>
  <si>
    <t>Adjusted Allocations to LEAs Above Hold harmless</t>
  </si>
  <si>
    <t>Allocations to All LEAs</t>
  </si>
  <si>
    <t>Second Iteration: Hold Harmless Check</t>
  </si>
  <si>
    <t>Third Iteration: Hold Harmless Check</t>
  </si>
  <si>
    <t>Hold Harmless Percentage</t>
  </si>
  <si>
    <t>LEAs Subject to 1003(a) Reservation</t>
  </si>
  <si>
    <t>Allocations of LEAs Still Above prior Year's Amount</t>
  </si>
  <si>
    <t>All LEA Allocations With 1003(a) Reservation Factored Out</t>
  </si>
  <si>
    <t>DRAFT</t>
  </si>
  <si>
    <t>*</t>
  </si>
  <si>
    <t xml:space="preserve">  </t>
  </si>
  <si>
    <t>FINAL SY 2015-2016 TITLE I, PART A ALLOCATIONS BY LOCAL EDUCATIONAL AGENCIES (BASED ON PL 113-235, THE CONSOLIDATED AND FURTHER CONTINUING APPROPRIATIONS ACT, 2015)</t>
  </si>
  <si>
    <t xml:space="preserve">FORMULA COUNTS USED TO DETERMINE FINAL SY 2015-2016 TITLE I, PART A ALLOCATIONS </t>
  </si>
  <si>
    <t>State's Allocation =</t>
  </si>
  <si>
    <t>Sum of State's FY 2016 1003(a) reservation and FY 2016 SIG Allocation</t>
  </si>
  <si>
    <t>7% of allocation =</t>
  </si>
  <si>
    <t>LEA 1</t>
  </si>
  <si>
    <t>LEA 2</t>
  </si>
  <si>
    <t>LEA 3</t>
  </si>
  <si>
    <t>LEA 4</t>
  </si>
  <si>
    <t>LEA 5</t>
  </si>
  <si>
    <t>LEA 6</t>
  </si>
  <si>
    <t>LEA 7</t>
  </si>
  <si>
    <t>LEA 8</t>
  </si>
  <si>
    <t>LEA 9</t>
  </si>
  <si>
    <t>LEA 10</t>
  </si>
  <si>
    <t>LEA 11</t>
  </si>
  <si>
    <t>LEA 12</t>
  </si>
  <si>
    <t>LEA 13</t>
  </si>
  <si>
    <t>LEA 14</t>
  </si>
  <si>
    <t>LEA 15</t>
  </si>
  <si>
    <t>LEA 16</t>
  </si>
  <si>
    <t>LEA 17</t>
  </si>
  <si>
    <t>Charter LEA 18</t>
  </si>
  <si>
    <t xml:space="preserve">Final State-Determined Prior Year Allocation of LEAs </t>
  </si>
  <si>
    <t>Example 1: SEA has Sufficient Funds to Reserve the Full Amount</t>
  </si>
  <si>
    <t>Described on Page 8 of ED’s November 2016 guidance on fiscal changes in the ESSA (ESSA fiscal changes guidance) [available at: https://www2.ed.gov/policy/elsec/leg/essa/essaguidance160477.pdf]</t>
  </si>
  <si>
    <t>Example 2: SEA has Insufficient Funds to Reserve the Full Amount</t>
  </si>
  <si>
    <t>Total check</t>
  </si>
  <si>
    <t>Full amount (maximum of prior two rows)</t>
  </si>
  <si>
    <t xml:space="preserve"> Reservation from Allocations of LEAs Still Above Prior Year</t>
  </si>
  <si>
    <t>Adjusted Allocations to All LEAs</t>
  </si>
  <si>
    <t>Final State-Determined  Allocation of LEAs Subject to 1003(a) Reservation</t>
  </si>
  <si>
    <t xml:space="preserve">Current Year Allocation After SEA Applies Step 3 on Page 7 of ED’s November 2016 guidance on fiscal changes in the ESSA </t>
  </si>
  <si>
    <t>Maximum Amount LEA Can Be Reduced for 1003(a) Reservation</t>
  </si>
  <si>
    <t>Cell G30 minus Cell H30</t>
  </si>
  <si>
    <t>Cell G30 minus Cell H30 minus Cell L30</t>
  </si>
  <si>
    <t>Cell G30 minus Cell H30 minus Cell L30 minus Cell P30</t>
  </si>
  <si>
    <t>Cell G30 minus Cell H30 minus Cell L30 minus Cell P30 minus Cell T30</t>
  </si>
  <si>
    <t>Cell D30 minus Cell B8</t>
  </si>
  <si>
    <t>Second Check for LEAs Subject to 1003(a) Reservation that Fall Below Prior Year</t>
  </si>
  <si>
    <t>Third Check for LEAs Subject to 1003(a) Reservation that Fall Below Prior Year</t>
  </si>
  <si>
    <t>Fourth Check for LEAs Subject to 1003(a) Reservation that Fall Below Prior Year</t>
  </si>
  <si>
    <t>Fifth Check for LEAs Subject to 1003(a) Reservation that Fall Below Prior Year</t>
  </si>
  <si>
    <t>Initial Reduction of LEAs Subject to the 1003(a) Reservation</t>
  </si>
  <si>
    <t>First Check for LEAs Subject to 1003(a) Reservation that Fall Below Prior Year During the Initial Reduction</t>
  </si>
  <si>
    <t>Actual amount SEA can reserve, consistent with the Special Rule (minimum of Cell B7 and Cell E30)</t>
  </si>
  <si>
    <t>Note: If an SEA has sufficient funds to reserve the full amount and the total of Column Y exceeds "0", the SEA will need to add additional iterations of the calculations demonstrated on this worksheet.</t>
  </si>
  <si>
    <t xml:space="preserve">Illustration of Applying the School Improvement Reservation's Special Rule for Fiscal Year 2019 (school year 2019-2020) Title I, Part A allocations and Subsequent Fiscal Years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</si>
</sst>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quot;$&quot;#,##0"/>
    <numFmt numFmtId="165" formatCode="#,##0.000000"/>
  </numFmts>
  <fonts count="18" x14ac:knownFonts="1">
    <font>
      <sz val="11"/>
      <color theme="1"/>
      <name val="Calibri"/>
      <family val="2"/>
      <scheme val="minor"/>
    </font>
    <font>
      <sz val="11"/>
      <color theme="1"/>
      <name val="Calibri"/>
      <family val="2"/>
      <scheme val="minor"/>
    </font>
    <font>
      <sz val="10"/>
      <name val="Arial"/>
      <family val="2"/>
    </font>
    <font>
      <b/>
      <sz val="10"/>
      <name val="Arial"/>
      <family val="2"/>
    </font>
    <font>
      <sz val="10"/>
      <color theme="1"/>
      <name val="Arial"/>
      <family val="2"/>
    </font>
    <font>
      <b/>
      <sz val="11"/>
      <color theme="1"/>
      <name val="Calibri"/>
      <family val="2"/>
      <scheme val="minor"/>
    </font>
    <font>
      <sz val="12"/>
      <color theme="1"/>
      <name val="Calibri"/>
      <family val="2"/>
      <scheme val="minor"/>
    </font>
    <font>
      <sz val="11"/>
      <color rgb="FF0070C0"/>
      <name val="Calibri"/>
      <family val="2"/>
      <scheme val="minor"/>
    </font>
    <font>
      <sz val="9"/>
      <color indexed="81"/>
      <name val="Tahoma"/>
      <family val="2"/>
    </font>
    <font>
      <b/>
      <sz val="9"/>
      <color indexed="81"/>
      <name val="Tahoma"/>
      <family val="2"/>
    </font>
    <font>
      <sz val="11"/>
      <color rgb="FFFF0000"/>
      <name val="Calibri"/>
      <family val="2"/>
      <scheme val="minor"/>
    </font>
    <font>
      <sz val="11"/>
      <name val="Calibri"/>
      <family val="2"/>
      <scheme val="minor"/>
    </font>
    <font>
      <b/>
      <sz val="11"/>
      <name val="Calibri"/>
      <family val="2"/>
      <scheme val="minor"/>
    </font>
    <font>
      <sz val="10"/>
      <name val="Calibri"/>
      <family val="2"/>
      <scheme val="minor"/>
    </font>
    <font>
      <b/>
      <u/>
      <sz val="11"/>
      <name val="Calibri"/>
      <family val="2"/>
      <scheme val="minor"/>
    </font>
    <font>
      <b/>
      <i/>
      <sz val="12"/>
      <name val="Calibri"/>
      <family val="2"/>
      <scheme val="minor"/>
    </font>
    <font>
      <b/>
      <i/>
      <sz val="12"/>
      <color theme="1"/>
      <name val="Calibri"/>
      <family val="2"/>
      <scheme val="minor"/>
    </font>
    <font>
      <i/>
      <sz val="11"/>
      <color theme="1"/>
      <name val="Calibri"/>
      <family val="2"/>
      <scheme val="minor"/>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4">
    <xf numFmtId="0" fontId="0" fillId="0" borderId="0"/>
    <xf numFmtId="43" fontId="1" fillId="0" borderId="0" applyFont="0" applyFill="0" applyBorder="0" applyAlignment="0" applyProtection="0"/>
    <xf numFmtId="43" fontId="6" fillId="0" borderId="0" applyFont="0" applyFill="0" applyBorder="0" applyAlignment="0" applyProtection="0"/>
    <xf numFmtId="9" fontId="1" fillId="0" borderId="0" applyFont="0" applyFill="0" applyBorder="0" applyAlignment="0" applyProtection="0"/>
  </cellStyleXfs>
  <cellXfs count="74">
    <xf numFmtId="0" fontId="0" fillId="0" borderId="0" xfId="0"/>
    <xf numFmtId="0" fontId="2" fillId="0" borderId="0" xfId="0" applyFont="1"/>
    <xf numFmtId="3" fontId="2" fillId="0" borderId="0" xfId="0" applyNumberFormat="1" applyFont="1"/>
    <xf numFmtId="0" fontId="2" fillId="0" borderId="0" xfId="0" quotePrefix="1" applyFont="1" applyAlignment="1">
      <alignment horizontal="left"/>
    </xf>
    <xf numFmtId="4" fontId="2" fillId="0" borderId="0" xfId="0" applyNumberFormat="1" applyFont="1"/>
    <xf numFmtId="43" fontId="2" fillId="0" borderId="0" xfId="1" applyFont="1"/>
    <xf numFmtId="0" fontId="2" fillId="0" borderId="0" xfId="0" applyFont="1" applyAlignment="1">
      <alignment horizontal="center"/>
    </xf>
    <xf numFmtId="3" fontId="2" fillId="0" borderId="0" xfId="0" applyNumberFormat="1" applyFont="1" applyAlignment="1">
      <alignment horizontal="center"/>
    </xf>
    <xf numFmtId="0" fontId="3" fillId="0" borderId="0" xfId="0" applyFont="1"/>
    <xf numFmtId="4" fontId="2" fillId="0" borderId="0" xfId="0" applyNumberFormat="1" applyFont="1" applyAlignment="1">
      <alignment horizontal="center"/>
    </xf>
    <xf numFmtId="0" fontId="2" fillId="0" borderId="0" xfId="0" applyFont="1" applyAlignment="1">
      <alignment horizontal="center" wrapText="1"/>
    </xf>
    <xf numFmtId="10" fontId="2" fillId="0" borderId="0" xfId="0" applyNumberFormat="1" applyFont="1"/>
    <xf numFmtId="10" fontId="2" fillId="0" borderId="0" xfId="1" applyNumberFormat="1" applyFont="1" applyAlignment="1">
      <alignment horizontal="center"/>
    </xf>
    <xf numFmtId="10" fontId="2" fillId="0" borderId="0" xfId="0" applyNumberFormat="1" applyFont="1" applyAlignment="1">
      <alignment horizontal="center"/>
    </xf>
    <xf numFmtId="10" fontId="2" fillId="0" borderId="0" xfId="0" quotePrefix="1" applyNumberFormat="1" applyFont="1" applyAlignment="1">
      <alignment horizontal="center"/>
    </xf>
    <xf numFmtId="10" fontId="0" fillId="0" borderId="0" xfId="0" applyNumberFormat="1"/>
    <xf numFmtId="3" fontId="0" fillId="0" borderId="0" xfId="0" applyNumberFormat="1"/>
    <xf numFmtId="1" fontId="2" fillId="0" borderId="0" xfId="0" applyNumberFormat="1" applyFont="1" applyAlignment="1">
      <alignment horizontal="left"/>
    </xf>
    <xf numFmtId="1" fontId="2" fillId="0" borderId="0" xfId="0" applyNumberFormat="1" applyFont="1" applyAlignment="1">
      <alignment horizontal="center"/>
    </xf>
    <xf numFmtId="1" fontId="0" fillId="0" borderId="0" xfId="0" applyNumberFormat="1"/>
    <xf numFmtId="0" fontId="4" fillId="0" borderId="0" xfId="0" applyFont="1"/>
    <xf numFmtId="3" fontId="2" fillId="0" borderId="0" xfId="0" quotePrefix="1" applyNumberFormat="1" applyFont="1" applyAlignment="1">
      <alignment horizontal="center"/>
    </xf>
    <xf numFmtId="3" fontId="2" fillId="0" borderId="0" xfId="0" applyNumberFormat="1" applyFont="1" applyAlignment="1">
      <alignment horizontal="center" wrapText="1"/>
    </xf>
    <xf numFmtId="10" fontId="2" fillId="0" borderId="0" xfId="0" applyNumberFormat="1" applyFont="1" applyAlignment="1">
      <alignment horizontal="center" wrapText="1"/>
    </xf>
    <xf numFmtId="0" fontId="2" fillId="0" borderId="0" xfId="1" applyNumberFormat="1" applyFont="1" applyAlignment="1">
      <alignment horizontal="center"/>
    </xf>
    <xf numFmtId="3" fontId="4" fillId="0" borderId="0" xfId="0" applyNumberFormat="1" applyFont="1"/>
    <xf numFmtId="3" fontId="2" fillId="0" borderId="0" xfId="0" applyNumberFormat="1" applyFont="1" applyAlignment="1">
      <alignment horizontal="left"/>
    </xf>
    <xf numFmtId="3" fontId="2" fillId="0" borderId="0" xfId="0" applyNumberFormat="1" applyFont="1" applyAlignment="1">
      <alignment horizontal="right"/>
    </xf>
    <xf numFmtId="0" fontId="5" fillId="0" borderId="0" xfId="0" applyFont="1"/>
    <xf numFmtId="0" fontId="5" fillId="0" borderId="0" xfId="0" applyFont="1" applyAlignment="1">
      <alignment horizontal="left"/>
    </xf>
    <xf numFmtId="0" fontId="0" fillId="0" borderId="0" xfId="0" applyAlignment="1">
      <alignment horizontal="left"/>
    </xf>
    <xf numFmtId="0" fontId="5" fillId="0" borderId="0" xfId="0" applyFont="1" applyAlignment="1">
      <alignment horizontal="left" wrapText="1"/>
    </xf>
    <xf numFmtId="0" fontId="5" fillId="0" borderId="0" xfId="0" applyFont="1" applyAlignment="1">
      <alignment wrapText="1"/>
    </xf>
    <xf numFmtId="0" fontId="5" fillId="0" borderId="0" xfId="0" applyFont="1" applyAlignment="1">
      <alignment horizontal="right" wrapText="1"/>
    </xf>
    <xf numFmtId="0" fontId="7" fillId="0" borderId="0" xfId="0" applyFont="1" applyAlignment="1">
      <alignment horizontal="left"/>
    </xf>
    <xf numFmtId="0" fontId="7" fillId="0" borderId="0" xfId="0" applyFont="1"/>
    <xf numFmtId="0" fontId="0" fillId="0" borderId="0" xfId="0" applyAlignment="1">
      <alignment wrapText="1"/>
    </xf>
    <xf numFmtId="164" fontId="0" fillId="0" borderId="0" xfId="0" applyNumberFormat="1"/>
    <xf numFmtId="164" fontId="5" fillId="0" borderId="0" xfId="0" applyNumberFormat="1" applyFont="1"/>
    <xf numFmtId="10" fontId="0" fillId="0" borderId="0" xfId="3" applyNumberFormat="1" applyFont="1"/>
    <xf numFmtId="0" fontId="11" fillId="0" borderId="0" xfId="0" applyFont="1"/>
    <xf numFmtId="3" fontId="11" fillId="0" borderId="0" xfId="0" quotePrefix="1" applyNumberFormat="1" applyFont="1"/>
    <xf numFmtId="3" fontId="11" fillId="0" borderId="0" xfId="0" applyNumberFormat="1" applyFont="1" applyFill="1" applyBorder="1" applyAlignment="1"/>
    <xf numFmtId="3" fontId="5" fillId="0" borderId="0" xfId="0" applyNumberFormat="1" applyFont="1" applyAlignment="1">
      <alignment horizontal="right" wrapText="1"/>
    </xf>
    <xf numFmtId="3" fontId="11" fillId="0" borderId="0" xfId="0" applyNumberFormat="1" applyFont="1"/>
    <xf numFmtId="3" fontId="12" fillId="0" borderId="0" xfId="0" applyNumberFormat="1" applyFont="1"/>
    <xf numFmtId="3" fontId="12" fillId="0" borderId="0" xfId="0" applyNumberFormat="1" applyFont="1" applyAlignment="1">
      <alignment horizontal="right" wrapText="1"/>
    </xf>
    <xf numFmtId="0" fontId="12" fillId="0" borderId="0" xfId="0" applyFont="1" applyAlignment="1">
      <alignment horizontal="right"/>
    </xf>
    <xf numFmtId="164" fontId="11" fillId="0" borderId="0" xfId="0" applyNumberFormat="1" applyFont="1"/>
    <xf numFmtId="165" fontId="12" fillId="0" borderId="0" xfId="0" applyNumberFormat="1" applyFont="1"/>
    <xf numFmtId="10" fontId="7" fillId="0" borderId="0" xfId="0" applyNumberFormat="1" applyFont="1"/>
    <xf numFmtId="164" fontId="7" fillId="0" borderId="0" xfId="0" applyNumberFormat="1" applyFont="1"/>
    <xf numFmtId="10" fontId="7" fillId="0" borderId="0" xfId="3" applyNumberFormat="1" applyFont="1"/>
    <xf numFmtId="1" fontId="7" fillId="0" borderId="0" xfId="0" applyNumberFormat="1" applyFont="1"/>
    <xf numFmtId="0" fontId="10" fillId="0" borderId="0" xfId="0" applyFont="1"/>
    <xf numFmtId="0" fontId="0" fillId="0" borderId="0" xfId="0" applyFill="1"/>
    <xf numFmtId="0" fontId="11" fillId="0" borderId="0" xfId="0" applyFont="1" applyBorder="1"/>
    <xf numFmtId="3" fontId="11" fillId="0" borderId="0" xfId="0" applyNumberFormat="1" applyFont="1" applyBorder="1"/>
    <xf numFmtId="0" fontId="12" fillId="0" borderId="1" xfId="0" applyFont="1" applyBorder="1"/>
    <xf numFmtId="0" fontId="12" fillId="0" borderId="1" xfId="0" applyFont="1" applyBorder="1" applyAlignment="1">
      <alignment wrapText="1"/>
    </xf>
    <xf numFmtId="3" fontId="12" fillId="0" borderId="1" xfId="0" applyNumberFormat="1" applyFont="1" applyBorder="1"/>
    <xf numFmtId="3" fontId="12" fillId="0" borderId="1" xfId="0" applyNumberFormat="1" applyFont="1" applyFill="1" applyBorder="1"/>
    <xf numFmtId="0" fontId="15" fillId="0" borderId="0" xfId="0" applyFont="1" applyBorder="1"/>
    <xf numFmtId="0" fontId="13" fillId="0" borderId="0" xfId="0" applyFont="1" applyBorder="1"/>
    <xf numFmtId="0" fontId="16" fillId="0" borderId="0" xfId="0" applyFont="1" applyBorder="1"/>
    <xf numFmtId="3" fontId="14" fillId="0" borderId="2" xfId="0" quotePrefix="1" applyNumberFormat="1" applyFont="1" applyBorder="1" applyAlignment="1">
      <alignment horizontal="right" wrapText="1"/>
    </xf>
    <xf numFmtId="3" fontId="11" fillId="0" borderId="3" xfId="0" applyNumberFormat="1" applyFont="1" applyBorder="1"/>
    <xf numFmtId="164" fontId="12" fillId="0" borderId="3" xfId="0" applyNumberFormat="1" applyFont="1" applyBorder="1"/>
    <xf numFmtId="164" fontId="14" fillId="0" borderId="2" xfId="0" applyNumberFormat="1" applyFont="1" applyBorder="1" applyAlignment="1">
      <alignment horizontal="right" wrapText="1"/>
    </xf>
    <xf numFmtId="3" fontId="0" fillId="0" borderId="3" xfId="0" applyNumberFormat="1" applyBorder="1"/>
    <xf numFmtId="164" fontId="12" fillId="0" borderId="2" xfId="0" applyNumberFormat="1" applyFont="1" applyBorder="1" applyAlignment="1">
      <alignment horizontal="right"/>
    </xf>
    <xf numFmtId="0" fontId="5" fillId="0" borderId="2" xfId="0" applyFont="1" applyBorder="1" applyAlignment="1">
      <alignment horizontal="right"/>
    </xf>
    <xf numFmtId="0" fontId="5" fillId="0" borderId="3" xfId="0" applyFont="1" applyBorder="1"/>
    <xf numFmtId="0" fontId="17" fillId="0" borderId="0" xfId="0" applyFont="1" applyAlignment="1">
      <alignment horizontal="right" wrapText="1"/>
    </xf>
  </cellXfs>
  <cellStyles count="4">
    <cellStyle name="Comma" xfId="1" builtinId="3"/>
    <cellStyle name="Comma 2" xfId="2"/>
    <cellStyle name="Normal" xfId="0" builtinId="0"/>
    <cellStyle name="Percent" xfId="3"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1"/>
  <sheetViews>
    <sheetView topLeftCell="D1" zoomScaleNormal="100" workbookViewId="0">
      <selection activeCell="K10" sqref="K10"/>
    </sheetView>
  </sheetViews>
  <sheetFormatPr defaultColWidth="9.140625" defaultRowHeight="15" x14ac:dyDescent="0.25"/>
  <cols>
    <col min="1" max="1" width="9.140625" hidden="1" customWidth="1"/>
    <col min="2" max="2" width="12.7109375" hidden="1" customWidth="1"/>
    <col min="3" max="3" width="17.7109375" hidden="1" customWidth="1"/>
    <col min="4" max="4" width="10.5703125" style="19" customWidth="1"/>
    <col min="5" max="5" width="34.7109375" customWidth="1"/>
    <col min="6" max="6" width="13.28515625" style="16" customWidth="1"/>
    <col min="7" max="7" width="12.42578125" style="16" customWidth="1"/>
    <col min="8" max="8" width="17.7109375" style="16" customWidth="1"/>
    <col min="9" max="9" width="12.42578125" style="16" customWidth="1"/>
    <col min="10" max="10" width="15.5703125" style="16" customWidth="1"/>
    <col min="11" max="11" width="13.28515625" style="16" customWidth="1"/>
    <col min="12" max="12" width="13" style="16" customWidth="1"/>
    <col min="13" max="13" width="17.7109375" style="16" customWidth="1"/>
    <col min="14" max="14" width="12.42578125" style="16" customWidth="1"/>
    <col min="15" max="15" width="15.5703125" style="16" customWidth="1"/>
    <col min="16" max="16" width="14.7109375" style="15" customWidth="1"/>
    <col min="18" max="18" width="2" customWidth="1"/>
    <col min="20" max="20" width="9.7109375" customWidth="1"/>
  </cols>
  <sheetData>
    <row r="1" spans="1:20" x14ac:dyDescent="0.25">
      <c r="A1" s="1"/>
      <c r="B1" s="1"/>
      <c r="C1" s="1"/>
      <c r="D1" s="17"/>
      <c r="E1" s="3" t="s">
        <v>112</v>
      </c>
      <c r="F1" s="2"/>
      <c r="G1" s="2"/>
      <c r="H1" s="2"/>
      <c r="I1" s="2"/>
      <c r="J1" s="2"/>
      <c r="K1" s="2"/>
      <c r="L1" s="2"/>
      <c r="M1" s="2"/>
      <c r="N1" s="2"/>
      <c r="O1" s="2"/>
      <c r="P1" s="11"/>
      <c r="Q1" s="1"/>
      <c r="R1" s="1"/>
    </row>
    <row r="2" spans="1:20" x14ac:dyDescent="0.25">
      <c r="A2" s="1"/>
      <c r="B2" s="1"/>
      <c r="C2" s="1"/>
      <c r="D2" s="17"/>
      <c r="E2" s="1"/>
      <c r="F2" s="2"/>
      <c r="G2" s="2"/>
      <c r="H2" s="2"/>
      <c r="I2" s="2"/>
      <c r="J2" s="2"/>
      <c r="K2" s="2"/>
      <c r="L2" s="2"/>
      <c r="M2" s="2"/>
      <c r="N2" s="2"/>
      <c r="O2" s="2"/>
      <c r="P2" s="11"/>
      <c r="Q2" s="1"/>
      <c r="R2" s="1"/>
    </row>
    <row r="3" spans="1:20" x14ac:dyDescent="0.25">
      <c r="A3" s="1"/>
      <c r="B3" s="1"/>
      <c r="C3" s="1"/>
      <c r="E3" s="2" t="s">
        <v>40</v>
      </c>
      <c r="F3" s="2"/>
      <c r="G3" s="2"/>
      <c r="H3" s="2"/>
      <c r="I3" s="2"/>
      <c r="J3" s="2"/>
      <c r="K3" s="2"/>
      <c r="L3" s="2"/>
      <c r="M3" s="2"/>
      <c r="N3" s="2"/>
      <c r="O3" s="2"/>
      <c r="P3" s="12" t="s">
        <v>39</v>
      </c>
      <c r="Q3" s="5"/>
      <c r="R3" s="1"/>
    </row>
    <row r="4" spans="1:20" x14ac:dyDescent="0.25">
      <c r="A4" s="6" t="s">
        <v>0</v>
      </c>
      <c r="B4" s="6" t="s">
        <v>0</v>
      </c>
      <c r="C4" s="6" t="s">
        <v>0</v>
      </c>
      <c r="D4" s="17"/>
      <c r="E4" s="1"/>
      <c r="F4" s="2"/>
      <c r="G4" s="2"/>
      <c r="H4" s="2"/>
      <c r="I4" s="2"/>
      <c r="J4" s="7" t="s">
        <v>1</v>
      </c>
      <c r="K4" s="2"/>
      <c r="L4" s="2"/>
      <c r="M4" s="2"/>
      <c r="N4" s="2"/>
      <c r="O4" s="7" t="s">
        <v>1</v>
      </c>
      <c r="P4" s="13" t="s">
        <v>2</v>
      </c>
      <c r="Q4" s="1"/>
      <c r="R4" s="1"/>
    </row>
    <row r="5" spans="1:20" x14ac:dyDescent="0.25">
      <c r="A5" s="1"/>
      <c r="B5" s="8"/>
      <c r="C5" s="8"/>
      <c r="D5" s="17"/>
      <c r="E5" s="1"/>
      <c r="F5" s="21" t="s">
        <v>20</v>
      </c>
      <c r="G5" s="21" t="s">
        <v>20</v>
      </c>
      <c r="H5" s="21" t="s">
        <v>20</v>
      </c>
      <c r="I5" s="21" t="s">
        <v>20</v>
      </c>
      <c r="J5" s="21" t="s">
        <v>20</v>
      </c>
      <c r="K5" s="21" t="s">
        <v>38</v>
      </c>
      <c r="L5" s="21" t="s">
        <v>38</v>
      </c>
      <c r="M5" s="21" t="s">
        <v>38</v>
      </c>
      <c r="N5" s="21" t="s">
        <v>38</v>
      </c>
      <c r="O5" s="21" t="s">
        <v>38</v>
      </c>
      <c r="P5" s="14" t="s">
        <v>20</v>
      </c>
      <c r="Q5" s="1"/>
      <c r="R5" s="1"/>
    </row>
    <row r="6" spans="1:20" x14ac:dyDescent="0.25">
      <c r="A6" s="1"/>
      <c r="B6" s="1"/>
      <c r="C6" s="1"/>
      <c r="D6" s="17"/>
      <c r="E6" s="6" t="s">
        <v>21</v>
      </c>
      <c r="F6" s="7" t="s">
        <v>6</v>
      </c>
      <c r="G6" s="7" t="s">
        <v>7</v>
      </c>
      <c r="H6" s="7" t="s">
        <v>8</v>
      </c>
      <c r="I6" s="7" t="s">
        <v>9</v>
      </c>
      <c r="J6" s="7" t="s">
        <v>10</v>
      </c>
      <c r="K6" s="7" t="s">
        <v>6</v>
      </c>
      <c r="L6" s="7" t="s">
        <v>7</v>
      </c>
      <c r="M6" s="7" t="s">
        <v>8</v>
      </c>
      <c r="N6" s="7" t="s">
        <v>9</v>
      </c>
      <c r="O6" s="7" t="s">
        <v>10</v>
      </c>
      <c r="P6" s="13" t="s">
        <v>10</v>
      </c>
      <c r="Q6" s="6" t="s">
        <v>11</v>
      </c>
      <c r="R6" s="1"/>
    </row>
    <row r="7" spans="1:20" x14ac:dyDescent="0.25">
      <c r="A7" s="1" t="s">
        <v>12</v>
      </c>
      <c r="B7" s="1" t="s">
        <v>13</v>
      </c>
      <c r="C7" s="1" t="s">
        <v>19</v>
      </c>
      <c r="D7" s="18" t="s">
        <v>14</v>
      </c>
      <c r="E7" s="6" t="s">
        <v>15</v>
      </c>
      <c r="F7" s="7" t="s">
        <v>18</v>
      </c>
      <c r="G7" s="7" t="s">
        <v>18</v>
      </c>
      <c r="H7" s="7" t="s">
        <v>18</v>
      </c>
      <c r="I7" s="7" t="s">
        <v>18</v>
      </c>
      <c r="J7" s="7" t="s">
        <v>18</v>
      </c>
      <c r="K7" s="7" t="s">
        <v>18</v>
      </c>
      <c r="L7" s="7" t="s">
        <v>18</v>
      </c>
      <c r="M7" s="7" t="s">
        <v>18</v>
      </c>
      <c r="N7" s="7" t="s">
        <v>18</v>
      </c>
      <c r="O7" s="7" t="s">
        <v>18</v>
      </c>
      <c r="P7" s="13" t="s">
        <v>18</v>
      </c>
      <c r="Q7" s="6" t="s">
        <v>17</v>
      </c>
      <c r="R7" s="1"/>
      <c r="T7" s="6" t="s">
        <v>37</v>
      </c>
    </row>
    <row r="8" spans="1:20" x14ac:dyDescent="0.25">
      <c r="A8" s="1"/>
      <c r="B8" s="1"/>
      <c r="C8" s="1"/>
      <c r="D8" s="18"/>
      <c r="E8" s="6"/>
      <c r="F8" s="7"/>
      <c r="G8" s="7"/>
      <c r="H8" s="7"/>
      <c r="I8" s="7"/>
      <c r="J8" s="7"/>
      <c r="K8" s="7"/>
      <c r="L8" s="7"/>
      <c r="M8" s="7"/>
      <c r="N8" s="7"/>
      <c r="O8" s="7"/>
      <c r="P8" s="13"/>
      <c r="Q8" s="6"/>
      <c r="R8" s="1"/>
      <c r="T8" s="6"/>
    </row>
    <row r="9" spans="1:20" x14ac:dyDescent="0.25">
      <c r="A9" s="26">
        <v>1</v>
      </c>
      <c r="B9" s="26">
        <v>32</v>
      </c>
      <c r="C9" s="2" t="s">
        <v>40</v>
      </c>
      <c r="D9" s="17">
        <v>3200390</v>
      </c>
      <c r="E9" s="2" t="s">
        <v>41</v>
      </c>
      <c r="F9" s="2">
        <v>808496.02131114271</v>
      </c>
      <c r="G9" s="2">
        <v>191442.07534223053</v>
      </c>
      <c r="H9" s="2">
        <v>289102.20005656511</v>
      </c>
      <c r="I9" s="2">
        <v>181388.04193793217</v>
      </c>
      <c r="J9" s="2">
        <v>1470428.3386478706</v>
      </c>
      <c r="K9" s="2">
        <v>781968.69680154778</v>
      </c>
      <c r="L9" s="2">
        <v>185290.75242107292</v>
      </c>
      <c r="M9" s="2">
        <v>278211.53563309211</v>
      </c>
      <c r="N9" s="2">
        <v>163249.23774413895</v>
      </c>
      <c r="O9" s="2">
        <v>1408720.2225998517</v>
      </c>
      <c r="P9" s="11">
        <v>0.95803391812703875</v>
      </c>
      <c r="Q9" s="2">
        <v>54080</v>
      </c>
      <c r="R9" s="1" t="s">
        <v>110</v>
      </c>
      <c r="T9" s="6"/>
    </row>
    <row r="10" spans="1:20" x14ac:dyDescent="0.25">
      <c r="A10" s="26">
        <v>1</v>
      </c>
      <c r="B10" s="26">
        <v>32</v>
      </c>
      <c r="C10" s="2" t="s">
        <v>40</v>
      </c>
      <c r="D10" s="17">
        <v>3200030</v>
      </c>
      <c r="E10" s="2" t="s">
        <v>42</v>
      </c>
      <c r="F10" s="2">
        <v>388822.1606417782</v>
      </c>
      <c r="G10" s="2">
        <v>92068.383034955943</v>
      </c>
      <c r="H10" s="2">
        <v>124514.10038959527</v>
      </c>
      <c r="I10" s="2">
        <v>70456.86463236867</v>
      </c>
      <c r="J10" s="2">
        <v>675861.50869869813</v>
      </c>
      <c r="K10" s="2">
        <v>381301.95298047172</v>
      </c>
      <c r="L10" s="2">
        <v>90351.092129851022</v>
      </c>
      <c r="M10" s="2">
        <v>121393.67115436401</v>
      </c>
      <c r="N10" s="2">
        <v>63966.531295790206</v>
      </c>
      <c r="O10" s="2">
        <v>657013.247560477</v>
      </c>
      <c r="P10" s="11">
        <v>0.9721122435652364</v>
      </c>
      <c r="Q10" s="2">
        <v>24063</v>
      </c>
      <c r="R10" s="1" t="s">
        <v>110</v>
      </c>
      <c r="T10" s="6"/>
    </row>
    <row r="11" spans="1:20" x14ac:dyDescent="0.25">
      <c r="A11" s="26">
        <v>1</v>
      </c>
      <c r="B11" s="26">
        <v>32</v>
      </c>
      <c r="C11" s="2" t="s">
        <v>40</v>
      </c>
      <c r="D11" s="17">
        <v>3200060</v>
      </c>
      <c r="E11" s="2" t="s">
        <v>43</v>
      </c>
      <c r="F11" s="2">
        <v>35137817.824065119</v>
      </c>
      <c r="G11" s="2">
        <v>8320210.1060772883</v>
      </c>
      <c r="H11" s="2">
        <v>25982804.04392371</v>
      </c>
      <c r="I11" s="2">
        <v>20795930.368033908</v>
      </c>
      <c r="J11" s="2">
        <v>90236762.342100024</v>
      </c>
      <c r="K11" s="2">
        <v>36296995.098469958</v>
      </c>
      <c r="L11" s="2">
        <v>8600724.7603753228</v>
      </c>
      <c r="M11" s="2">
        <v>26955958.080423843</v>
      </c>
      <c r="N11" s="2">
        <v>21208051.947411612</v>
      </c>
      <c r="O11" s="2">
        <v>93061729.886680737</v>
      </c>
      <c r="P11" s="11">
        <v>1.0313061713569784</v>
      </c>
      <c r="Q11" s="2">
        <v>2027868</v>
      </c>
      <c r="R11" s="1" t="s">
        <v>110</v>
      </c>
      <c r="T11" s="6"/>
    </row>
    <row r="12" spans="1:20" x14ac:dyDescent="0.25">
      <c r="A12" s="26">
        <v>1</v>
      </c>
      <c r="B12" s="26">
        <v>32</v>
      </c>
      <c r="C12" s="2" t="s">
        <v>40</v>
      </c>
      <c r="D12" s="17">
        <v>3200090</v>
      </c>
      <c r="E12" s="2" t="s">
        <v>44</v>
      </c>
      <c r="F12" s="2">
        <v>453247.76952291321</v>
      </c>
      <c r="G12" s="2">
        <v>0</v>
      </c>
      <c r="H12" s="2">
        <v>143215.82670900947</v>
      </c>
      <c r="I12" s="2">
        <v>80547.553052186966</v>
      </c>
      <c r="J12" s="2">
        <v>677011.14928410971</v>
      </c>
      <c r="K12" s="2">
        <v>448156.58802541532</v>
      </c>
      <c r="L12" s="2">
        <v>0</v>
      </c>
      <c r="M12" s="2">
        <v>140782.50324849444</v>
      </c>
      <c r="N12" s="2">
        <v>77757.40247328706</v>
      </c>
      <c r="O12" s="2">
        <v>666696.49374719686</v>
      </c>
      <c r="P12" s="11">
        <v>0.98476442293776134</v>
      </c>
      <c r="Q12" s="2">
        <v>47118</v>
      </c>
      <c r="R12" s="1" t="s">
        <v>110</v>
      </c>
      <c r="T12" s="6"/>
    </row>
    <row r="13" spans="1:20" x14ac:dyDescent="0.25">
      <c r="A13" s="26">
        <v>1</v>
      </c>
      <c r="B13" s="26">
        <v>32</v>
      </c>
      <c r="C13" s="2" t="s">
        <v>40</v>
      </c>
      <c r="D13" s="17">
        <v>3200120</v>
      </c>
      <c r="E13" s="2" t="s">
        <v>45</v>
      </c>
      <c r="F13" s="2">
        <v>542173.2578377187</v>
      </c>
      <c r="G13" s="2">
        <v>0</v>
      </c>
      <c r="H13" s="2">
        <v>179733.99934773342</v>
      </c>
      <c r="I13" s="2">
        <v>101086.13119385476</v>
      </c>
      <c r="J13" s="2">
        <v>822993.38837930688</v>
      </c>
      <c r="K13" s="2">
        <v>544519.47577985132</v>
      </c>
      <c r="L13" s="2">
        <v>0</v>
      </c>
      <c r="M13" s="2">
        <v>180454.69629874424</v>
      </c>
      <c r="N13" s="2">
        <v>99669.263754523476</v>
      </c>
      <c r="O13" s="2">
        <v>824643.43583311909</v>
      </c>
      <c r="P13" s="11">
        <v>1.0020049340336277</v>
      </c>
      <c r="Q13" s="2">
        <v>52384</v>
      </c>
      <c r="R13" s="1" t="s">
        <v>110</v>
      </c>
      <c r="T13" s="6"/>
    </row>
    <row r="14" spans="1:20" x14ac:dyDescent="0.25">
      <c r="A14" s="26">
        <v>1</v>
      </c>
      <c r="B14" s="26">
        <v>32</v>
      </c>
      <c r="C14" s="2" t="s">
        <v>40</v>
      </c>
      <c r="D14" s="17">
        <v>3200150</v>
      </c>
      <c r="E14" s="2" t="s">
        <v>46</v>
      </c>
      <c r="F14" s="2">
        <v>8632.7943842183686</v>
      </c>
      <c r="G14" s="2">
        <v>2041.1893555007746</v>
      </c>
      <c r="H14" s="2">
        <v>2763.2971060396922</v>
      </c>
      <c r="I14" s="2">
        <v>1679.9953168043028</v>
      </c>
      <c r="J14" s="2">
        <v>15117.276162563137</v>
      </c>
      <c r="K14" s="2">
        <v>9682.3954203021804</v>
      </c>
      <c r="L14" s="2">
        <v>2294.2840806854547</v>
      </c>
      <c r="M14" s="2">
        <v>3083.155803052578</v>
      </c>
      <c r="N14" s="2">
        <v>1624.5251260455029</v>
      </c>
      <c r="O14" s="2">
        <v>16684.360430085715</v>
      </c>
      <c r="P14" s="11">
        <v>1.1036618138526404</v>
      </c>
      <c r="Q14" s="2">
        <v>832</v>
      </c>
      <c r="R14" s="1" t="s">
        <v>111</v>
      </c>
      <c r="T14" s="6"/>
    </row>
    <row r="15" spans="1:20" x14ac:dyDescent="0.25">
      <c r="A15" s="26">
        <v>1</v>
      </c>
      <c r="B15" s="26">
        <v>32</v>
      </c>
      <c r="C15" s="2" t="s">
        <v>40</v>
      </c>
      <c r="D15" s="17">
        <v>3200180</v>
      </c>
      <c r="E15" s="2" t="s">
        <v>47</v>
      </c>
      <c r="F15" s="2">
        <v>14261.148237179666</v>
      </c>
      <c r="G15" s="2">
        <v>0</v>
      </c>
      <c r="H15" s="2">
        <v>3890.5217984819747</v>
      </c>
      <c r="I15" s="2">
        <v>3195.5483174442156</v>
      </c>
      <c r="J15" s="2">
        <v>21347.218353105858</v>
      </c>
      <c r="K15" s="2">
        <v>14293.059906160366</v>
      </c>
      <c r="L15" s="2">
        <v>0</v>
      </c>
      <c r="M15" s="2">
        <v>3922.9281804074835</v>
      </c>
      <c r="N15" s="2">
        <v>2716.2160698275834</v>
      </c>
      <c r="O15" s="2">
        <v>20932.204156395434</v>
      </c>
      <c r="P15" s="11">
        <v>0.98055886299349893</v>
      </c>
      <c r="Q15" s="2">
        <v>2076</v>
      </c>
      <c r="R15" s="1" t="s">
        <v>111</v>
      </c>
      <c r="T15" s="6"/>
    </row>
    <row r="16" spans="1:20" x14ac:dyDescent="0.25">
      <c r="A16" s="26">
        <v>1</v>
      </c>
      <c r="B16" s="26">
        <v>32</v>
      </c>
      <c r="C16" s="2" t="s">
        <v>40</v>
      </c>
      <c r="D16" s="17">
        <v>3200210</v>
      </c>
      <c r="E16" s="2" t="s">
        <v>48</v>
      </c>
      <c r="F16" s="2">
        <v>226850.73549695362</v>
      </c>
      <c r="G16" s="2">
        <v>53715.509355283531</v>
      </c>
      <c r="H16" s="2">
        <v>62105.735780142895</v>
      </c>
      <c r="I16" s="2">
        <v>36413.138810540811</v>
      </c>
      <c r="J16" s="2">
        <v>379085.11944292084</v>
      </c>
      <c r="K16" s="2">
        <v>212090.5663494764</v>
      </c>
      <c r="L16" s="2">
        <v>45658.182951991002</v>
      </c>
      <c r="M16" s="2">
        <v>58211.192354433624</v>
      </c>
      <c r="N16" s="2">
        <v>32151.375404684983</v>
      </c>
      <c r="O16" s="2">
        <v>348111.31706058601</v>
      </c>
      <c r="P16" s="11">
        <v>0.91829327822771845</v>
      </c>
      <c r="Q16" s="2">
        <v>17363</v>
      </c>
      <c r="R16" s="1" t="s">
        <v>111</v>
      </c>
      <c r="T16" s="6"/>
    </row>
    <row r="17" spans="1:20" x14ac:dyDescent="0.25">
      <c r="A17" s="26">
        <v>1</v>
      </c>
      <c r="B17" s="26">
        <v>32</v>
      </c>
      <c r="C17" s="2" t="s">
        <v>40</v>
      </c>
      <c r="D17" s="17">
        <v>3200240</v>
      </c>
      <c r="E17" s="2" t="s">
        <v>49</v>
      </c>
      <c r="F17" s="2">
        <v>69416.325062067801</v>
      </c>
      <c r="G17" s="2">
        <v>0</v>
      </c>
      <c r="H17" s="2">
        <v>19004.355148723727</v>
      </c>
      <c r="I17" s="2">
        <v>10688.443726786303</v>
      </c>
      <c r="J17" s="2">
        <v>99109.123937577824</v>
      </c>
      <c r="K17" s="2">
        <v>68237.8343907011</v>
      </c>
      <c r="L17" s="2">
        <v>0</v>
      </c>
      <c r="M17" s="2">
        <v>18728.818409687341</v>
      </c>
      <c r="N17" s="2">
        <v>10344.355564985606</v>
      </c>
      <c r="O17" s="2">
        <v>97311.008365374044</v>
      </c>
      <c r="P17" s="11">
        <v>0.98185721454528962</v>
      </c>
      <c r="Q17" s="2">
        <v>6032</v>
      </c>
      <c r="R17" s="1" t="s">
        <v>111</v>
      </c>
      <c r="T17" s="6"/>
    </row>
    <row r="18" spans="1:20" x14ac:dyDescent="0.25">
      <c r="A18" s="26">
        <v>1</v>
      </c>
      <c r="B18" s="26">
        <v>32</v>
      </c>
      <c r="C18" s="2" t="s">
        <v>40</v>
      </c>
      <c r="D18" s="17">
        <v>3200270</v>
      </c>
      <c r="E18" s="2" t="s">
        <v>50</v>
      </c>
      <c r="F18" s="2">
        <v>73045.936830019054</v>
      </c>
      <c r="G18" s="2">
        <v>17296.394012401295</v>
      </c>
      <c r="H18" s="2">
        <v>19998.046921206002</v>
      </c>
      <c r="I18" s="2">
        <v>14989.446318877033</v>
      </c>
      <c r="J18" s="2">
        <v>125329.82408250339</v>
      </c>
      <c r="K18" s="2">
        <v>76537.030465245844</v>
      </c>
      <c r="L18" s="2">
        <v>18135.76939970407</v>
      </c>
      <c r="M18" s="2">
        <v>22226.102555217101</v>
      </c>
      <c r="N18" s="2">
        <v>13490.50168698933</v>
      </c>
      <c r="O18" s="2">
        <v>130389.40410715634</v>
      </c>
      <c r="P18" s="11">
        <v>1.0403701198951838</v>
      </c>
      <c r="Q18" s="2">
        <v>5245</v>
      </c>
      <c r="R18" s="1" t="s">
        <v>111</v>
      </c>
      <c r="T18" s="6"/>
    </row>
    <row r="19" spans="1:20" x14ac:dyDescent="0.25">
      <c r="A19" s="26">
        <v>1</v>
      </c>
      <c r="B19" s="26">
        <v>32</v>
      </c>
      <c r="C19" s="2" t="s">
        <v>40</v>
      </c>
      <c r="D19" s="17">
        <v>3200300</v>
      </c>
      <c r="E19" s="2" t="s">
        <v>51</v>
      </c>
      <c r="F19" s="2">
        <v>868384.61548233835</v>
      </c>
      <c r="G19" s="2">
        <v>205622.9698120254</v>
      </c>
      <c r="H19" s="2">
        <v>313696.07142550161</v>
      </c>
      <c r="I19" s="2">
        <v>176429.18060129939</v>
      </c>
      <c r="J19" s="2">
        <v>1564132.8373211648</v>
      </c>
      <c r="K19" s="2">
        <v>909684.10305981955</v>
      </c>
      <c r="L19" s="2">
        <v>215553.45196154297</v>
      </c>
      <c r="M19" s="2">
        <v>330791.42785758583</v>
      </c>
      <c r="N19" s="2">
        <v>182703.68545184034</v>
      </c>
      <c r="O19" s="2">
        <v>1638732.6683307886</v>
      </c>
      <c r="P19" s="11">
        <v>1.0476940508054216</v>
      </c>
      <c r="Q19" s="2">
        <v>51557</v>
      </c>
      <c r="R19" s="1" t="s">
        <v>110</v>
      </c>
      <c r="T19" s="6"/>
    </row>
    <row r="20" spans="1:20" x14ac:dyDescent="0.25">
      <c r="A20" s="26">
        <v>1</v>
      </c>
      <c r="B20" s="26">
        <v>32</v>
      </c>
      <c r="C20" s="2" t="s">
        <v>40</v>
      </c>
      <c r="D20" s="17">
        <v>3200330</v>
      </c>
      <c r="E20" s="2" t="s">
        <v>52</v>
      </c>
      <c r="F20" s="2">
        <v>63064.504468153093</v>
      </c>
      <c r="G20" s="2">
        <v>15418.283802197919</v>
      </c>
      <c r="H20" s="2">
        <v>23730.695507220702</v>
      </c>
      <c r="I20" s="2">
        <v>17599.492002446361</v>
      </c>
      <c r="J20" s="2">
        <v>119812.97578001808</v>
      </c>
      <c r="K20" s="2">
        <v>79303.429156760729</v>
      </c>
      <c r="L20" s="2">
        <v>18791.279137042777</v>
      </c>
      <c r="M20" s="2">
        <v>33810.47783544282</v>
      </c>
      <c r="N20" s="2">
        <v>19577.33593424335</v>
      </c>
      <c r="O20" s="2">
        <v>151482.52206348968</v>
      </c>
      <c r="P20" s="11">
        <v>1.2643248452623219</v>
      </c>
      <c r="Q20" s="2">
        <v>4614</v>
      </c>
      <c r="R20" s="1" t="s">
        <v>111</v>
      </c>
      <c r="T20" s="6"/>
    </row>
    <row r="21" spans="1:20" x14ac:dyDescent="0.25">
      <c r="A21" s="26">
        <v>1</v>
      </c>
      <c r="B21" s="26">
        <v>32</v>
      </c>
      <c r="C21" s="2" t="s">
        <v>40</v>
      </c>
      <c r="D21" s="17">
        <v>3200360</v>
      </c>
      <c r="E21" s="2" t="s">
        <v>53</v>
      </c>
      <c r="F21" s="2">
        <v>773561.00804461155</v>
      </c>
      <c r="G21" s="2">
        <v>183169.88690151682</v>
      </c>
      <c r="H21" s="2">
        <v>309442.87811149645</v>
      </c>
      <c r="I21" s="2">
        <v>185052.64975501961</v>
      </c>
      <c r="J21" s="2">
        <v>1451226.4228126444</v>
      </c>
      <c r="K21" s="2">
        <v>829458.54100588686</v>
      </c>
      <c r="L21" s="2">
        <v>196543.6695787207</v>
      </c>
      <c r="M21" s="2">
        <v>355192.14554022846</v>
      </c>
      <c r="N21" s="2">
        <v>206012.13608107661</v>
      </c>
      <c r="O21" s="2">
        <v>1587206.4922059127</v>
      </c>
      <c r="P21" s="11">
        <v>1.0937001058247846</v>
      </c>
      <c r="Q21" s="2">
        <v>42297</v>
      </c>
      <c r="R21" s="1" t="s">
        <v>110</v>
      </c>
      <c r="T21" s="6"/>
    </row>
    <row r="22" spans="1:20" x14ac:dyDescent="0.25">
      <c r="A22" s="26">
        <v>1</v>
      </c>
      <c r="B22" s="26">
        <v>32</v>
      </c>
      <c r="C22" s="2" t="s">
        <v>40</v>
      </c>
      <c r="D22" s="17">
        <v>3200420</v>
      </c>
      <c r="E22" s="2" t="s">
        <v>54</v>
      </c>
      <c r="F22" s="2">
        <v>92101.398611763128</v>
      </c>
      <c r="G22" s="2">
        <v>21808.496798245113</v>
      </c>
      <c r="H22" s="2">
        <v>30569.946109792214</v>
      </c>
      <c r="I22" s="2">
        <v>19997.304450810785</v>
      </c>
      <c r="J22" s="2">
        <v>164477.14597061125</v>
      </c>
      <c r="K22" s="2">
        <v>106045.2831747382</v>
      </c>
      <c r="L22" s="2">
        <v>25127.873264650218</v>
      </c>
      <c r="M22" s="2">
        <v>36742.180137865842</v>
      </c>
      <c r="N22" s="2">
        <v>19401.478394923877</v>
      </c>
      <c r="O22" s="2">
        <v>187316.81497217814</v>
      </c>
      <c r="P22" s="11">
        <v>1.1388622648258249</v>
      </c>
      <c r="Q22" s="2">
        <v>6877</v>
      </c>
      <c r="R22" s="1" t="s">
        <v>111</v>
      </c>
      <c r="T22" s="6"/>
    </row>
    <row r="23" spans="1:20" x14ac:dyDescent="0.25">
      <c r="A23" s="26">
        <v>1</v>
      </c>
      <c r="B23" s="26">
        <v>32</v>
      </c>
      <c r="C23" s="2" t="s">
        <v>40</v>
      </c>
      <c r="D23" s="17">
        <v>3200450</v>
      </c>
      <c r="E23" s="2" t="s">
        <v>55</v>
      </c>
      <c r="F23" s="2">
        <v>26314.685317646617</v>
      </c>
      <c r="G23" s="2">
        <v>0</v>
      </c>
      <c r="H23" s="2">
        <v>7204.2653504965774</v>
      </c>
      <c r="I23" s="2">
        <v>5097.6604111610104</v>
      </c>
      <c r="J23" s="2">
        <v>38616.611079304203</v>
      </c>
      <c r="K23" s="2">
        <v>23514.388877876732</v>
      </c>
      <c r="L23" s="2">
        <v>0</v>
      </c>
      <c r="M23" s="2">
        <v>6453.8495871219893</v>
      </c>
      <c r="N23" s="2">
        <v>4333.0113494868583</v>
      </c>
      <c r="O23" s="2">
        <v>34301.249814485578</v>
      </c>
      <c r="P23" s="11">
        <v>0.88825116590483633</v>
      </c>
      <c r="Q23" s="2">
        <v>3942</v>
      </c>
      <c r="R23" s="1" t="s">
        <v>111</v>
      </c>
      <c r="T23" s="6"/>
    </row>
    <row r="24" spans="1:20" x14ac:dyDescent="0.25">
      <c r="A24" s="26">
        <v>1</v>
      </c>
      <c r="B24" s="26">
        <v>32</v>
      </c>
      <c r="C24" s="2" t="s">
        <v>40</v>
      </c>
      <c r="D24" s="17">
        <v>3200480</v>
      </c>
      <c r="E24" s="2" t="s">
        <v>56</v>
      </c>
      <c r="F24" s="2">
        <v>7323649.1447836505</v>
      </c>
      <c r="G24" s="2">
        <v>1734151.5040259734</v>
      </c>
      <c r="H24" s="2">
        <v>4341563.5654466683</v>
      </c>
      <c r="I24" s="2">
        <v>3046197.7297454313</v>
      </c>
      <c r="J24" s="2">
        <v>16445561.944001723</v>
      </c>
      <c r="K24" s="2">
        <v>6591284.2303052852</v>
      </c>
      <c r="L24" s="2">
        <v>1560736.353623376</v>
      </c>
      <c r="M24" s="2">
        <v>3907407.2089020014</v>
      </c>
      <c r="N24" s="2">
        <v>2741577.9567708881</v>
      </c>
      <c r="O24" s="2">
        <v>14801005.74960155</v>
      </c>
      <c r="P24" s="11">
        <v>0.9</v>
      </c>
      <c r="Q24" s="2">
        <v>433731</v>
      </c>
      <c r="R24" s="1" t="s">
        <v>110</v>
      </c>
      <c r="T24" s="6"/>
    </row>
    <row r="25" spans="1:20" x14ac:dyDescent="0.25">
      <c r="A25" s="26">
        <v>1</v>
      </c>
      <c r="B25" s="26">
        <v>32</v>
      </c>
      <c r="C25" s="2" t="s">
        <v>40</v>
      </c>
      <c r="D25" s="17">
        <v>3200510</v>
      </c>
      <c r="E25" s="2" t="s">
        <v>57</v>
      </c>
      <c r="F25" s="2">
        <v>108888.35303853772</v>
      </c>
      <c r="G25" s="2">
        <v>25783.444490536105</v>
      </c>
      <c r="H25" s="2">
        <v>30455.708819398216</v>
      </c>
      <c r="I25" s="2">
        <v>19021.647473387668</v>
      </c>
      <c r="J25" s="2">
        <v>184149.15382185971</v>
      </c>
      <c r="K25" s="2">
        <v>111578.080557768</v>
      </c>
      <c r="L25" s="2">
        <v>26438.892739327621</v>
      </c>
      <c r="M25" s="2">
        <v>31145.733959348268</v>
      </c>
      <c r="N25" s="2">
        <v>17119.4827260489</v>
      </c>
      <c r="O25" s="2">
        <v>186282.1899824928</v>
      </c>
      <c r="P25" s="11">
        <v>1.0115831982735937</v>
      </c>
      <c r="Q25" s="2">
        <v>10057</v>
      </c>
      <c r="R25" s="1" t="s">
        <v>111</v>
      </c>
      <c r="T25" s="6"/>
    </row>
    <row r="26" spans="1:20" x14ac:dyDescent="0.25">
      <c r="A26" s="26">
        <v>3</v>
      </c>
      <c r="B26" s="26">
        <v>32</v>
      </c>
      <c r="C26" s="2" t="s">
        <v>40</v>
      </c>
      <c r="D26" s="17">
        <v>3299998</v>
      </c>
      <c r="E26" s="2" t="s">
        <v>58</v>
      </c>
      <c r="F26" s="2">
        <v>0</v>
      </c>
      <c r="G26" s="2">
        <v>0</v>
      </c>
      <c r="H26" s="2">
        <v>0</v>
      </c>
      <c r="I26" s="2">
        <v>0</v>
      </c>
      <c r="J26" s="2">
        <v>0</v>
      </c>
      <c r="K26" s="2">
        <v>0</v>
      </c>
      <c r="L26" s="2">
        <v>0</v>
      </c>
      <c r="M26" s="2">
        <v>0</v>
      </c>
      <c r="N26" s="2">
        <v>0</v>
      </c>
      <c r="O26" s="2">
        <v>0</v>
      </c>
      <c r="P26" s="11">
        <v>0</v>
      </c>
      <c r="Q26" s="2">
        <v>0</v>
      </c>
      <c r="R26" s="1" t="s">
        <v>111</v>
      </c>
      <c r="T26" s="6"/>
    </row>
    <row r="27" spans="1:20" x14ac:dyDescent="0.25">
      <c r="A27" s="26">
        <v>4</v>
      </c>
      <c r="B27" s="26">
        <v>32</v>
      </c>
      <c r="C27" s="2" t="s">
        <v>40</v>
      </c>
      <c r="D27" s="17">
        <v>3299999</v>
      </c>
      <c r="E27" s="2" t="s">
        <v>59</v>
      </c>
      <c r="F27" s="2">
        <v>494053.0882229124</v>
      </c>
      <c r="G27" s="2">
        <v>125447.49144370483</v>
      </c>
      <c r="H27" s="2">
        <v>163363.13879639411</v>
      </c>
      <c r="I27" s="2">
        <v>133793.34404697339</v>
      </c>
      <c r="J27" s="2">
        <v>916657.06250998471</v>
      </c>
      <c r="K27" s="2">
        <v>469350.43381176674</v>
      </c>
      <c r="L27" s="2">
        <v>119175.11687151958</v>
      </c>
      <c r="M27" s="2">
        <v>155194.98185657439</v>
      </c>
      <c r="N27" s="2">
        <v>127103.67684462472</v>
      </c>
      <c r="O27" s="2">
        <v>870824.20938448538</v>
      </c>
      <c r="P27" s="11">
        <v>0.94999999999999984</v>
      </c>
      <c r="Q27" s="2">
        <v>0</v>
      </c>
      <c r="R27" s="1" t="s">
        <v>111</v>
      </c>
      <c r="T27" s="6"/>
    </row>
    <row r="28" spans="1:20" x14ac:dyDescent="0.25">
      <c r="A28" s="1"/>
      <c r="B28" s="1"/>
      <c r="C28" s="1"/>
      <c r="D28" s="18"/>
      <c r="E28" s="6"/>
      <c r="F28" s="7"/>
      <c r="G28" s="7"/>
      <c r="H28" s="7"/>
      <c r="I28" s="7"/>
      <c r="J28" s="7"/>
      <c r="K28" s="7">
        <f>SUM(K9:K27)</f>
        <v>47954001.188539036</v>
      </c>
      <c r="L28" s="7">
        <f>SUM(L9:L27)</f>
        <v>11104821.478534807</v>
      </c>
      <c r="M28" s="7">
        <f>SUM(M9:M27)</f>
        <v>32639710.689737502</v>
      </c>
      <c r="N28" s="7">
        <f>SUM(N9:N27)</f>
        <v>24990850.12008502</v>
      </c>
      <c r="O28" s="7">
        <f>SUM(O9:O27)</f>
        <v>116689383.47689638</v>
      </c>
      <c r="P28" s="13"/>
      <c r="Q28" s="6"/>
      <c r="R28" s="1" t="str">
        <f t="shared" ref="R28" si="0">IF(AND($A28=1,Q28&gt;=20000),"*","  ")</f>
        <v xml:space="preserve">  </v>
      </c>
      <c r="T28" s="6"/>
    </row>
    <row r="29" spans="1:20" x14ac:dyDescent="0.25">
      <c r="E29" s="3" t="s">
        <v>35</v>
      </c>
    </row>
    <row r="31" spans="1:20" x14ac:dyDescent="0.25">
      <c r="E31" t="s">
        <v>36</v>
      </c>
    </row>
  </sheetData>
  <sortState ref="A16:U151">
    <sortCondition ref="A16:A151"/>
    <sortCondition ref="E16:E151"/>
  </sortState>
  <pageMargins left="0.25" right="0.25" top="0.75" bottom="0.75" header="0.3" footer="0.3"/>
  <pageSetup scale="62" fitToHeight="0" orientation="landscape" r:id="rId1"/>
  <headerFooter>
    <oddHeader>&amp;R&amp;P</oddHeader>
    <oddFooter>&amp;L&amp;"-,Bold"LEA allocations are not final.  SEAs must adjust these allocations to provide for school improvement and State administration and to account for eligible LEAs not on the Census list that did not receive an allocation from ED.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topLeftCell="D1" zoomScaleNormal="100" workbookViewId="0">
      <selection activeCell="K8" sqref="K8"/>
    </sheetView>
  </sheetViews>
  <sheetFormatPr defaultRowHeight="15" x14ac:dyDescent="0.25"/>
  <cols>
    <col min="1" max="2" width="9.140625" hidden="1" customWidth="1"/>
    <col min="3" max="3" width="17.7109375" hidden="1" customWidth="1"/>
    <col min="5" max="5" width="34.7109375" customWidth="1"/>
    <col min="6" max="6" width="10.28515625" style="16" customWidth="1"/>
    <col min="7" max="10" width="9.140625" style="16"/>
    <col min="11" max="11" width="10" style="16" customWidth="1"/>
    <col min="12" max="12" width="10.140625" style="16" bestFit="1" customWidth="1"/>
    <col min="13" max="13" width="10" style="15" bestFit="1" customWidth="1"/>
    <col min="14" max="15" width="10.42578125" style="16" bestFit="1" customWidth="1"/>
    <col min="16" max="16" width="13.5703125" style="16" bestFit="1" customWidth="1"/>
    <col min="17" max="18" width="10.85546875" bestFit="1" customWidth="1"/>
  </cols>
  <sheetData>
    <row r="1" spans="1:18" x14ac:dyDescent="0.25">
      <c r="A1" s="1"/>
      <c r="B1" s="1"/>
      <c r="C1" s="1"/>
      <c r="D1" s="1"/>
      <c r="E1" s="3" t="s">
        <v>113</v>
      </c>
      <c r="F1" s="2"/>
      <c r="G1" s="2"/>
      <c r="H1" s="2"/>
      <c r="I1" s="2"/>
      <c r="J1" s="2"/>
      <c r="K1" s="2"/>
      <c r="L1" s="2"/>
      <c r="M1" s="11"/>
      <c r="N1" s="2"/>
      <c r="O1" s="2"/>
      <c r="P1" s="2"/>
      <c r="Q1" s="4"/>
      <c r="R1" s="4"/>
    </row>
    <row r="2" spans="1:18" x14ac:dyDescent="0.25">
      <c r="A2" s="1"/>
      <c r="B2" s="1"/>
      <c r="C2" s="1"/>
      <c r="D2" s="1"/>
      <c r="E2" s="1"/>
      <c r="F2" s="2"/>
      <c r="G2" s="2"/>
      <c r="H2" s="2"/>
      <c r="I2" s="2"/>
      <c r="J2" s="2"/>
      <c r="K2" s="2"/>
      <c r="L2" s="2"/>
      <c r="M2" s="11"/>
      <c r="N2" s="2"/>
      <c r="O2" s="2"/>
      <c r="P2" s="2"/>
      <c r="Q2" s="4"/>
      <c r="R2" s="4"/>
    </row>
    <row r="3" spans="1:18" x14ac:dyDescent="0.25">
      <c r="A3" s="6" t="s">
        <v>0</v>
      </c>
      <c r="B3" s="6" t="s">
        <v>0</v>
      </c>
      <c r="C3" s="6" t="s">
        <v>0</v>
      </c>
      <c r="D3" s="1"/>
      <c r="E3" s="2" t="s">
        <v>40</v>
      </c>
      <c r="F3" s="2"/>
      <c r="G3" s="2"/>
      <c r="H3" s="2"/>
      <c r="I3" s="2"/>
      <c r="J3" s="2"/>
      <c r="K3" s="2"/>
      <c r="L3" s="2"/>
      <c r="M3" s="11"/>
      <c r="N3" s="2"/>
      <c r="O3" s="2"/>
      <c r="P3" s="7" t="s">
        <v>22</v>
      </c>
      <c r="Q3" s="4"/>
      <c r="R3" s="4"/>
    </row>
    <row r="4" spans="1:18" x14ac:dyDescent="0.25">
      <c r="A4" s="1"/>
      <c r="B4" s="8"/>
      <c r="C4" s="8"/>
      <c r="D4" s="1"/>
      <c r="E4" s="1"/>
      <c r="F4" s="2"/>
      <c r="G4" s="2"/>
      <c r="H4" s="2"/>
      <c r="I4" s="2"/>
      <c r="J4" s="2"/>
      <c r="K4" s="7" t="s">
        <v>1</v>
      </c>
      <c r="L4" s="2"/>
      <c r="M4" s="11"/>
      <c r="N4" s="2"/>
      <c r="O4" s="2"/>
      <c r="P4" s="7" t="s">
        <v>8</v>
      </c>
      <c r="Q4" s="4" t="s">
        <v>23</v>
      </c>
      <c r="R4" s="4" t="s">
        <v>23</v>
      </c>
    </row>
    <row r="5" spans="1:18" x14ac:dyDescent="0.25">
      <c r="A5" s="1"/>
      <c r="B5" s="1"/>
      <c r="C5" s="1"/>
      <c r="D5" s="1"/>
      <c r="E5" s="6" t="s">
        <v>21</v>
      </c>
      <c r="F5" s="24">
        <v>2013</v>
      </c>
      <c r="G5" s="2"/>
      <c r="H5" s="2"/>
      <c r="I5" s="2"/>
      <c r="J5" s="2"/>
      <c r="K5" s="7" t="s">
        <v>3</v>
      </c>
      <c r="L5" s="21" t="s">
        <v>4</v>
      </c>
      <c r="M5" s="13" t="s">
        <v>5</v>
      </c>
      <c r="N5" s="7" t="s">
        <v>6</v>
      </c>
      <c r="O5" s="7" t="s">
        <v>7</v>
      </c>
      <c r="P5" s="7" t="s">
        <v>24</v>
      </c>
      <c r="Q5" s="9" t="s">
        <v>25</v>
      </c>
      <c r="R5" s="9" t="s">
        <v>25</v>
      </c>
    </row>
    <row r="6" spans="1:18" x14ac:dyDescent="0.25">
      <c r="A6" s="1" t="s">
        <v>26</v>
      </c>
      <c r="B6" s="1" t="s">
        <v>27</v>
      </c>
      <c r="C6" s="1" t="s">
        <v>19</v>
      </c>
      <c r="D6" s="6" t="s">
        <v>14</v>
      </c>
      <c r="E6" s="6" t="s">
        <v>15</v>
      </c>
      <c r="F6" s="7" t="s">
        <v>28</v>
      </c>
      <c r="G6" s="7" t="s">
        <v>29</v>
      </c>
      <c r="H6" s="7" t="s">
        <v>30</v>
      </c>
      <c r="I6" s="7" t="s">
        <v>31</v>
      </c>
      <c r="J6" s="7" t="s">
        <v>32</v>
      </c>
      <c r="K6" s="7" t="s">
        <v>16</v>
      </c>
      <c r="L6" s="7" t="s">
        <v>17</v>
      </c>
      <c r="M6" s="13" t="s">
        <v>3</v>
      </c>
      <c r="N6" s="7" t="s">
        <v>33</v>
      </c>
      <c r="O6" s="7" t="s">
        <v>33</v>
      </c>
      <c r="P6" s="7" t="s">
        <v>33</v>
      </c>
      <c r="Q6" s="9" t="s">
        <v>8</v>
      </c>
      <c r="R6" s="9" t="s">
        <v>9</v>
      </c>
    </row>
    <row r="7" spans="1:18" x14ac:dyDescent="0.25">
      <c r="A7" s="1"/>
      <c r="B7" s="1"/>
      <c r="C7" s="1"/>
      <c r="D7" s="6"/>
      <c r="E7" s="1"/>
      <c r="F7" s="22"/>
      <c r="G7" s="7"/>
      <c r="H7" s="7"/>
      <c r="I7" s="7"/>
      <c r="J7" s="7"/>
      <c r="K7" s="22"/>
      <c r="L7" s="22"/>
      <c r="M7" s="23"/>
      <c r="N7" s="22"/>
      <c r="O7" s="22"/>
      <c r="P7" s="22"/>
      <c r="Q7" s="10"/>
      <c r="R7" s="10"/>
    </row>
    <row r="8" spans="1:18" x14ac:dyDescent="0.25">
      <c r="A8" s="17">
        <v>1</v>
      </c>
      <c r="B8" s="26">
        <v>32</v>
      </c>
      <c r="C8" s="2" t="s">
        <v>40</v>
      </c>
      <c r="D8" s="17">
        <v>3200390</v>
      </c>
      <c r="E8" s="2" t="s">
        <v>41</v>
      </c>
      <c r="F8" s="27">
        <v>1684</v>
      </c>
      <c r="G8" s="27">
        <v>0</v>
      </c>
      <c r="H8" s="27"/>
      <c r="I8" s="27">
        <v>12</v>
      </c>
      <c r="J8" s="27">
        <v>0</v>
      </c>
      <c r="K8" s="2">
        <v>1696</v>
      </c>
      <c r="L8" s="2">
        <v>8338</v>
      </c>
      <c r="M8" s="11">
        <v>0.20340609258815062</v>
      </c>
      <c r="N8" s="2">
        <v>1696</v>
      </c>
      <c r="O8" s="2">
        <v>1696</v>
      </c>
      <c r="P8" s="2">
        <v>1696</v>
      </c>
      <c r="Q8" s="4">
        <v>2198.5</v>
      </c>
      <c r="R8" s="4">
        <v>2198.5</v>
      </c>
    </row>
    <row r="9" spans="1:18" x14ac:dyDescent="0.25">
      <c r="A9" s="17">
        <v>1</v>
      </c>
      <c r="B9" s="26">
        <v>32</v>
      </c>
      <c r="C9" s="2" t="s">
        <v>40</v>
      </c>
      <c r="D9" s="17">
        <v>3200030</v>
      </c>
      <c r="E9" s="2" t="s">
        <v>42</v>
      </c>
      <c r="F9" s="27">
        <v>806</v>
      </c>
      <c r="G9" s="27">
        <v>0</v>
      </c>
      <c r="H9" s="27"/>
      <c r="I9" s="27">
        <v>21</v>
      </c>
      <c r="J9" s="27">
        <v>0</v>
      </c>
      <c r="K9" s="2">
        <v>827</v>
      </c>
      <c r="L9" s="2">
        <v>4176</v>
      </c>
      <c r="M9" s="11">
        <v>0.19803639846743296</v>
      </c>
      <c r="N9" s="2">
        <v>827</v>
      </c>
      <c r="O9" s="2">
        <v>827</v>
      </c>
      <c r="P9" s="2">
        <v>827</v>
      </c>
      <c r="Q9" s="4">
        <v>959.28440000000012</v>
      </c>
      <c r="R9" s="4">
        <v>915.18960000000015</v>
      </c>
    </row>
    <row r="10" spans="1:18" x14ac:dyDescent="0.25">
      <c r="A10" s="17">
        <v>1</v>
      </c>
      <c r="B10" s="26">
        <v>32</v>
      </c>
      <c r="C10" s="2" t="s">
        <v>40</v>
      </c>
      <c r="D10" s="17">
        <v>3200060</v>
      </c>
      <c r="E10" s="2" t="s">
        <v>43</v>
      </c>
      <c r="F10" s="27">
        <v>77378</v>
      </c>
      <c r="G10" s="27">
        <v>206</v>
      </c>
      <c r="H10" s="27"/>
      <c r="I10" s="27">
        <v>1135</v>
      </c>
      <c r="J10" s="27">
        <v>5</v>
      </c>
      <c r="K10" s="2">
        <v>78724</v>
      </c>
      <c r="L10" s="2">
        <v>356139</v>
      </c>
      <c r="M10" s="11">
        <v>0.22104852318897958</v>
      </c>
      <c r="N10" s="2">
        <v>78724</v>
      </c>
      <c r="O10" s="2">
        <v>78724</v>
      </c>
      <c r="P10" s="2">
        <v>78724</v>
      </c>
      <c r="Q10" s="4">
        <v>213013</v>
      </c>
      <c r="R10" s="4">
        <v>303430.375</v>
      </c>
    </row>
    <row r="11" spans="1:18" x14ac:dyDescent="0.25">
      <c r="A11" s="17">
        <v>1</v>
      </c>
      <c r="B11" s="26">
        <v>32</v>
      </c>
      <c r="C11" s="2" t="s">
        <v>40</v>
      </c>
      <c r="D11" s="17">
        <v>3200090</v>
      </c>
      <c r="E11" s="2" t="s">
        <v>44</v>
      </c>
      <c r="F11" s="27">
        <v>948</v>
      </c>
      <c r="G11" s="27">
        <v>0</v>
      </c>
      <c r="H11" s="27"/>
      <c r="I11" s="27">
        <v>24</v>
      </c>
      <c r="J11" s="27">
        <v>0</v>
      </c>
      <c r="K11" s="2">
        <v>972</v>
      </c>
      <c r="L11" s="2">
        <v>6690</v>
      </c>
      <c r="M11" s="11">
        <v>0.14529147982062779</v>
      </c>
      <c r="N11" s="2">
        <v>972</v>
      </c>
      <c r="O11" s="2">
        <v>0</v>
      </c>
      <c r="P11" s="2">
        <v>972</v>
      </c>
      <c r="Q11" s="4">
        <v>1112.5</v>
      </c>
      <c r="R11" s="4">
        <v>1112.5</v>
      </c>
    </row>
    <row r="12" spans="1:18" x14ac:dyDescent="0.25">
      <c r="A12" s="17">
        <v>1</v>
      </c>
      <c r="B12" s="26">
        <v>32</v>
      </c>
      <c r="C12" s="2" t="s">
        <v>40</v>
      </c>
      <c r="D12" s="17">
        <v>3200120</v>
      </c>
      <c r="E12" s="2" t="s">
        <v>45</v>
      </c>
      <c r="F12" s="27">
        <v>1172</v>
      </c>
      <c r="G12" s="27">
        <v>0</v>
      </c>
      <c r="H12" s="27"/>
      <c r="I12" s="27">
        <v>9</v>
      </c>
      <c r="J12" s="27">
        <v>0</v>
      </c>
      <c r="K12" s="2">
        <v>1181</v>
      </c>
      <c r="L12" s="2">
        <v>10873</v>
      </c>
      <c r="M12" s="11">
        <v>0.10861767681412673</v>
      </c>
      <c r="N12" s="2">
        <v>1181</v>
      </c>
      <c r="O12" s="2">
        <v>0</v>
      </c>
      <c r="P12" s="2">
        <v>1181</v>
      </c>
      <c r="Q12" s="4">
        <v>1426</v>
      </c>
      <c r="R12" s="4">
        <v>1426</v>
      </c>
    </row>
    <row r="13" spans="1:18" x14ac:dyDescent="0.25">
      <c r="A13" s="17">
        <v>1</v>
      </c>
      <c r="B13" s="26">
        <v>32</v>
      </c>
      <c r="C13" s="2" t="s">
        <v>40</v>
      </c>
      <c r="D13" s="17">
        <v>3200150</v>
      </c>
      <c r="E13" s="2" t="s">
        <v>46</v>
      </c>
      <c r="F13" s="27">
        <v>21</v>
      </c>
      <c r="G13" s="27">
        <v>0</v>
      </c>
      <c r="H13" s="27"/>
      <c r="I13" s="27">
        <v>0</v>
      </c>
      <c r="J13" s="27">
        <v>0</v>
      </c>
      <c r="K13" s="2">
        <v>21</v>
      </c>
      <c r="L13" s="2">
        <v>106</v>
      </c>
      <c r="M13" s="11">
        <v>0.19811320754716982</v>
      </c>
      <c r="N13" s="2">
        <v>21</v>
      </c>
      <c r="O13" s="2">
        <v>21</v>
      </c>
      <c r="P13" s="2">
        <v>21</v>
      </c>
      <c r="Q13" s="4">
        <v>24.363900000000001</v>
      </c>
      <c r="R13" s="4">
        <v>23.242599999999999</v>
      </c>
    </row>
    <row r="14" spans="1:18" x14ac:dyDescent="0.25">
      <c r="A14" s="17">
        <v>1</v>
      </c>
      <c r="B14" s="26">
        <v>32</v>
      </c>
      <c r="C14" s="2" t="s">
        <v>40</v>
      </c>
      <c r="D14" s="17">
        <v>3200180</v>
      </c>
      <c r="E14" s="2" t="s">
        <v>47</v>
      </c>
      <c r="F14" s="27">
        <v>31</v>
      </c>
      <c r="G14" s="27">
        <v>0</v>
      </c>
      <c r="H14" s="27"/>
      <c r="I14" s="27">
        <v>0</v>
      </c>
      <c r="J14" s="27">
        <v>0</v>
      </c>
      <c r="K14" s="2">
        <v>31</v>
      </c>
      <c r="L14" s="2">
        <v>331</v>
      </c>
      <c r="M14" s="11">
        <v>9.3655589123867067E-2</v>
      </c>
      <c r="N14" s="2">
        <v>31</v>
      </c>
      <c r="O14" s="2">
        <v>0</v>
      </c>
      <c r="P14" s="2">
        <v>31</v>
      </c>
      <c r="Q14" s="4">
        <v>31</v>
      </c>
      <c r="R14" s="4">
        <v>31</v>
      </c>
    </row>
    <row r="15" spans="1:18" x14ac:dyDescent="0.25">
      <c r="A15" s="17">
        <v>1</v>
      </c>
      <c r="B15" s="26">
        <v>32</v>
      </c>
      <c r="C15" s="2" t="s">
        <v>40</v>
      </c>
      <c r="D15" s="17">
        <v>3200210</v>
      </c>
      <c r="E15" s="2" t="s">
        <v>48</v>
      </c>
      <c r="F15" s="27">
        <v>453</v>
      </c>
      <c r="G15" s="27">
        <v>0</v>
      </c>
      <c r="H15" s="27"/>
      <c r="I15" s="27">
        <v>7</v>
      </c>
      <c r="J15" s="27">
        <v>0</v>
      </c>
      <c r="K15" s="2">
        <v>460</v>
      </c>
      <c r="L15" s="2">
        <v>3442</v>
      </c>
      <c r="M15" s="11">
        <v>0.1336432306798373</v>
      </c>
      <c r="N15" s="2">
        <v>460</v>
      </c>
      <c r="O15" s="2">
        <v>0</v>
      </c>
      <c r="P15" s="2">
        <v>460</v>
      </c>
      <c r="Q15" s="4">
        <v>460</v>
      </c>
      <c r="R15" s="4">
        <v>460</v>
      </c>
    </row>
    <row r="16" spans="1:18" x14ac:dyDescent="0.25">
      <c r="A16" s="17">
        <v>1</v>
      </c>
      <c r="B16" s="26">
        <v>32</v>
      </c>
      <c r="C16" s="2" t="s">
        <v>40</v>
      </c>
      <c r="D16" s="17">
        <v>3200240</v>
      </c>
      <c r="E16" s="2" t="s">
        <v>49</v>
      </c>
      <c r="F16" s="27">
        <v>148</v>
      </c>
      <c r="G16" s="27">
        <v>0</v>
      </c>
      <c r="H16" s="27"/>
      <c r="I16" s="27">
        <v>0</v>
      </c>
      <c r="J16" s="27">
        <v>0</v>
      </c>
      <c r="K16" s="2">
        <v>148</v>
      </c>
      <c r="L16" s="2">
        <v>1158</v>
      </c>
      <c r="M16" s="11">
        <v>0.12780656303972365</v>
      </c>
      <c r="N16" s="2">
        <v>148</v>
      </c>
      <c r="O16" s="2">
        <v>0</v>
      </c>
      <c r="P16" s="2">
        <v>148</v>
      </c>
      <c r="Q16" s="4">
        <v>148</v>
      </c>
      <c r="R16" s="4">
        <v>148</v>
      </c>
    </row>
    <row r="17" spans="1:18" x14ac:dyDescent="0.25">
      <c r="A17" s="17">
        <v>1</v>
      </c>
      <c r="B17" s="26">
        <v>32</v>
      </c>
      <c r="C17" s="2" t="s">
        <v>40</v>
      </c>
      <c r="D17" s="17">
        <v>3200270</v>
      </c>
      <c r="E17" s="2" t="s">
        <v>50</v>
      </c>
      <c r="F17" s="27">
        <v>166</v>
      </c>
      <c r="G17" s="27">
        <v>0</v>
      </c>
      <c r="H17" s="27"/>
      <c r="I17" s="27">
        <v>0</v>
      </c>
      <c r="J17" s="27">
        <v>0</v>
      </c>
      <c r="K17" s="2">
        <v>166</v>
      </c>
      <c r="L17" s="2">
        <v>983</v>
      </c>
      <c r="M17" s="11">
        <v>0.1688708036622584</v>
      </c>
      <c r="N17" s="2">
        <v>166</v>
      </c>
      <c r="O17" s="2">
        <v>166</v>
      </c>
      <c r="P17" s="2">
        <v>166</v>
      </c>
      <c r="Q17" s="4">
        <v>175.63645000000008</v>
      </c>
      <c r="R17" s="4">
        <v>172.42430000000004</v>
      </c>
    </row>
    <row r="18" spans="1:18" x14ac:dyDescent="0.25">
      <c r="A18" s="17">
        <v>1</v>
      </c>
      <c r="B18" s="26">
        <v>32</v>
      </c>
      <c r="C18" s="2" t="s">
        <v>40</v>
      </c>
      <c r="D18" s="17">
        <v>3200300</v>
      </c>
      <c r="E18" s="2" t="s">
        <v>51</v>
      </c>
      <c r="F18" s="27">
        <v>1944</v>
      </c>
      <c r="G18" s="27">
        <v>0</v>
      </c>
      <c r="H18" s="27"/>
      <c r="I18" s="27">
        <v>29</v>
      </c>
      <c r="J18" s="27">
        <v>0</v>
      </c>
      <c r="K18" s="2">
        <v>1973</v>
      </c>
      <c r="L18" s="2">
        <v>8946</v>
      </c>
      <c r="M18" s="11">
        <v>0.22054549519338251</v>
      </c>
      <c r="N18" s="2">
        <v>1973</v>
      </c>
      <c r="O18" s="2">
        <v>1973</v>
      </c>
      <c r="P18" s="2">
        <v>1973</v>
      </c>
      <c r="Q18" s="4">
        <v>2614</v>
      </c>
      <c r="R18" s="4">
        <v>2614</v>
      </c>
    </row>
    <row r="19" spans="1:18" x14ac:dyDescent="0.25">
      <c r="A19" s="17">
        <v>1</v>
      </c>
      <c r="B19" s="26">
        <v>32</v>
      </c>
      <c r="C19" s="2" t="s">
        <v>40</v>
      </c>
      <c r="D19" s="17">
        <v>3200330</v>
      </c>
      <c r="E19" s="2" t="s">
        <v>52</v>
      </c>
      <c r="F19" s="27">
        <v>172</v>
      </c>
      <c r="G19" s="27">
        <v>0</v>
      </c>
      <c r="H19" s="27"/>
      <c r="I19" s="27">
        <v>0</v>
      </c>
      <c r="J19" s="27">
        <v>0</v>
      </c>
      <c r="K19" s="2">
        <v>172</v>
      </c>
      <c r="L19" s="2">
        <v>576</v>
      </c>
      <c r="M19" s="11">
        <v>0.2986111111111111</v>
      </c>
      <c r="N19" s="2">
        <v>172</v>
      </c>
      <c r="O19" s="2">
        <v>172</v>
      </c>
      <c r="P19" s="2">
        <v>172</v>
      </c>
      <c r="Q19" s="4">
        <v>267.17920000000004</v>
      </c>
      <c r="R19" s="4">
        <v>280.0992</v>
      </c>
    </row>
    <row r="20" spans="1:18" x14ac:dyDescent="0.25">
      <c r="A20" s="17">
        <v>1</v>
      </c>
      <c r="B20" s="26">
        <v>32</v>
      </c>
      <c r="C20" s="2" t="s">
        <v>40</v>
      </c>
      <c r="D20" s="17">
        <v>3200360</v>
      </c>
      <c r="E20" s="2" t="s">
        <v>53</v>
      </c>
      <c r="F20" s="27">
        <v>1750</v>
      </c>
      <c r="G20" s="27">
        <v>0</v>
      </c>
      <c r="H20" s="27"/>
      <c r="I20" s="27">
        <v>49</v>
      </c>
      <c r="J20" s="27">
        <v>0</v>
      </c>
      <c r="K20" s="2">
        <v>1799</v>
      </c>
      <c r="L20" s="2">
        <v>5981</v>
      </c>
      <c r="M20" s="11">
        <v>0.30078582176893498</v>
      </c>
      <c r="N20" s="2">
        <v>1799</v>
      </c>
      <c r="O20" s="2">
        <v>1799</v>
      </c>
      <c r="P20" s="2">
        <v>1799</v>
      </c>
      <c r="Q20" s="4">
        <v>2806.8208250000002</v>
      </c>
      <c r="R20" s="4">
        <v>2947.4814500000002</v>
      </c>
    </row>
    <row r="21" spans="1:18" x14ac:dyDescent="0.25">
      <c r="A21" s="17">
        <v>1</v>
      </c>
      <c r="B21" s="26">
        <v>32</v>
      </c>
      <c r="C21" s="2" t="s">
        <v>40</v>
      </c>
      <c r="D21" s="17">
        <v>3200420</v>
      </c>
      <c r="E21" s="2" t="s">
        <v>54</v>
      </c>
      <c r="F21" s="27">
        <v>226</v>
      </c>
      <c r="G21" s="27">
        <v>0</v>
      </c>
      <c r="H21" s="27"/>
      <c r="I21" s="27">
        <v>4</v>
      </c>
      <c r="J21" s="27">
        <v>0</v>
      </c>
      <c r="K21" s="2">
        <v>230</v>
      </c>
      <c r="L21" s="2">
        <v>1007</v>
      </c>
      <c r="M21" s="11">
        <v>0.22840119165839126</v>
      </c>
      <c r="N21" s="2">
        <v>230</v>
      </c>
      <c r="O21" s="2">
        <v>230</v>
      </c>
      <c r="P21" s="2">
        <v>230</v>
      </c>
      <c r="Q21" s="4">
        <v>290.34627499999999</v>
      </c>
      <c r="R21" s="4">
        <v>277.58314999999999</v>
      </c>
    </row>
    <row r="22" spans="1:18" x14ac:dyDescent="0.25">
      <c r="A22" s="17">
        <v>1</v>
      </c>
      <c r="B22" s="26">
        <v>32</v>
      </c>
      <c r="C22" s="2" t="s">
        <v>40</v>
      </c>
      <c r="D22" s="17">
        <v>3200450</v>
      </c>
      <c r="E22" s="2" t="s">
        <v>55</v>
      </c>
      <c r="F22" s="27">
        <v>51</v>
      </c>
      <c r="G22" s="27">
        <v>0</v>
      </c>
      <c r="H22" s="27"/>
      <c r="I22" s="27">
        <v>0</v>
      </c>
      <c r="J22" s="27">
        <v>0</v>
      </c>
      <c r="K22" s="2">
        <v>51</v>
      </c>
      <c r="L22" s="2">
        <v>460</v>
      </c>
      <c r="M22" s="11">
        <v>0.1108695652173913</v>
      </c>
      <c r="N22" s="2">
        <v>51</v>
      </c>
      <c r="O22" s="2">
        <v>0</v>
      </c>
      <c r="P22" s="2">
        <v>51</v>
      </c>
      <c r="Q22" s="4">
        <v>51</v>
      </c>
      <c r="R22" s="4">
        <v>51</v>
      </c>
    </row>
    <row r="23" spans="1:18" x14ac:dyDescent="0.25">
      <c r="A23" s="17">
        <v>1</v>
      </c>
      <c r="B23" s="26">
        <v>32</v>
      </c>
      <c r="C23" s="2" t="s">
        <v>40</v>
      </c>
      <c r="D23" s="17">
        <v>3200480</v>
      </c>
      <c r="E23" s="2" t="s">
        <v>56</v>
      </c>
      <c r="F23" s="27">
        <v>12408</v>
      </c>
      <c r="G23" s="27">
        <v>88</v>
      </c>
      <c r="H23" s="27"/>
      <c r="I23" s="27">
        <v>359</v>
      </c>
      <c r="J23" s="27">
        <v>0</v>
      </c>
      <c r="K23" s="2">
        <v>12855</v>
      </c>
      <c r="L23" s="2">
        <v>71990</v>
      </c>
      <c r="M23" s="11">
        <v>0.17856646756493957</v>
      </c>
      <c r="N23" s="2">
        <v>12855</v>
      </c>
      <c r="O23" s="2">
        <v>12855</v>
      </c>
      <c r="P23" s="2">
        <v>12855</v>
      </c>
      <c r="Q23" s="4">
        <v>26735.5</v>
      </c>
      <c r="R23" s="4">
        <v>32511.25</v>
      </c>
    </row>
    <row r="24" spans="1:18" x14ac:dyDescent="0.25">
      <c r="A24" s="17">
        <v>1</v>
      </c>
      <c r="B24" s="26">
        <v>32</v>
      </c>
      <c r="C24" s="2" t="s">
        <v>40</v>
      </c>
      <c r="D24" s="17">
        <v>3200510</v>
      </c>
      <c r="E24" s="2" t="s">
        <v>57</v>
      </c>
      <c r="F24" s="27">
        <v>241</v>
      </c>
      <c r="G24" s="27">
        <v>0</v>
      </c>
      <c r="H24" s="27"/>
      <c r="I24" s="27">
        <v>1</v>
      </c>
      <c r="J24" s="27">
        <v>0</v>
      </c>
      <c r="K24" s="2">
        <v>242</v>
      </c>
      <c r="L24" s="2">
        <v>1518</v>
      </c>
      <c r="M24" s="11">
        <v>0.15942028985507245</v>
      </c>
      <c r="N24" s="2">
        <v>242</v>
      </c>
      <c r="O24" s="2">
        <v>242</v>
      </c>
      <c r="P24" s="2">
        <v>242</v>
      </c>
      <c r="Q24" s="4">
        <v>246.12169999999998</v>
      </c>
      <c r="R24" s="4">
        <v>244.74779999999998</v>
      </c>
    </row>
    <row r="25" spans="1:18" x14ac:dyDescent="0.25">
      <c r="A25" s="17">
        <v>3</v>
      </c>
      <c r="B25" s="26">
        <v>32</v>
      </c>
      <c r="C25" s="2" t="s">
        <v>40</v>
      </c>
      <c r="D25" s="17">
        <v>3299998</v>
      </c>
      <c r="E25" s="2" t="s">
        <v>58</v>
      </c>
      <c r="F25" s="27">
        <v>0</v>
      </c>
      <c r="G25" s="27">
        <v>0</v>
      </c>
      <c r="H25" s="27"/>
      <c r="I25" s="27">
        <v>0</v>
      </c>
      <c r="J25" s="27">
        <v>0</v>
      </c>
      <c r="K25" s="2">
        <v>0</v>
      </c>
      <c r="L25" s="2">
        <v>0</v>
      </c>
      <c r="M25" s="11">
        <v>0</v>
      </c>
      <c r="N25" s="2">
        <v>0</v>
      </c>
      <c r="O25" s="2">
        <v>0</v>
      </c>
      <c r="P25" s="2">
        <v>0</v>
      </c>
      <c r="Q25" s="4">
        <v>0</v>
      </c>
      <c r="R25" s="4">
        <v>0</v>
      </c>
    </row>
    <row r="26" spans="1:18" x14ac:dyDescent="0.25">
      <c r="A26" s="17">
        <v>4</v>
      </c>
      <c r="B26" s="26">
        <v>32</v>
      </c>
      <c r="C26" s="2" t="s">
        <v>40</v>
      </c>
      <c r="D26" s="17">
        <v>3299999</v>
      </c>
      <c r="E26" s="2" t="s">
        <v>59</v>
      </c>
      <c r="F26" s="27">
        <v>0</v>
      </c>
      <c r="G26" s="27">
        <v>0</v>
      </c>
      <c r="H26" s="27">
        <v>697</v>
      </c>
      <c r="I26" s="27">
        <v>0</v>
      </c>
      <c r="J26" s="27">
        <v>0</v>
      </c>
      <c r="K26" s="2">
        <v>697</v>
      </c>
      <c r="L26" s="2">
        <v>697</v>
      </c>
      <c r="M26" s="11">
        <v>1</v>
      </c>
      <c r="N26" s="2">
        <v>697</v>
      </c>
      <c r="O26" s="2">
        <v>697</v>
      </c>
      <c r="P26" s="2">
        <v>697</v>
      </c>
      <c r="Q26" s="4">
        <v>700</v>
      </c>
      <c r="R26" s="4">
        <v>700</v>
      </c>
    </row>
    <row r="27" spans="1:18" x14ac:dyDescent="0.25">
      <c r="A27" s="1"/>
      <c r="B27" s="1"/>
      <c r="C27" s="1"/>
      <c r="D27" s="6"/>
      <c r="E27" s="1"/>
      <c r="F27" s="22"/>
      <c r="G27" s="7"/>
      <c r="H27" s="7"/>
      <c r="I27" s="7"/>
      <c r="J27" s="7"/>
      <c r="K27" s="22"/>
      <c r="L27" s="22"/>
      <c r="M27" s="23"/>
      <c r="N27" s="22"/>
      <c r="O27" s="22"/>
      <c r="P27" s="22"/>
      <c r="Q27" s="10"/>
      <c r="R27" s="10"/>
    </row>
    <row r="28" spans="1:18" x14ac:dyDescent="0.25">
      <c r="E28" s="20" t="s">
        <v>34</v>
      </c>
      <c r="F28" s="25"/>
      <c r="G28" s="25"/>
      <c r="H28" s="25"/>
      <c r="I28" s="25"/>
      <c r="J28" s="25"/>
      <c r="K28" s="25">
        <f>SUM(K8:K27)</f>
        <v>102245</v>
      </c>
      <c r="L28" s="25">
        <f>SUM(L8:L27)</f>
        <v>483411</v>
      </c>
    </row>
  </sheetData>
  <sortState ref="A16:R151">
    <sortCondition ref="A16:A151"/>
    <sortCondition ref="E16:E151"/>
  </sortState>
  <pageMargins left="0.25" right="0.25" top="0.75" bottom="0.75" header="0.3" footer="0.3"/>
  <pageSetup scale="62" fitToHeight="0" orientation="landscape" r:id="rId1"/>
  <headerFooter>
    <oddHeader>&amp;R&amp;P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topLeftCell="C1" workbookViewId="0">
      <selection activeCell="Q4" sqref="Q4"/>
    </sheetView>
  </sheetViews>
  <sheetFormatPr defaultRowHeight="15" x14ac:dyDescent="0.25"/>
  <cols>
    <col min="1" max="1" width="9.140625" style="30"/>
    <col min="2" max="2" width="31.28515625" bestFit="1" customWidth="1"/>
    <col min="3" max="3" width="12" customWidth="1"/>
    <col min="4" max="4" width="9.140625" customWidth="1"/>
    <col min="11" max="11" width="9.140625" customWidth="1"/>
    <col min="12" max="12" width="12.7109375" customWidth="1"/>
    <col min="13" max="13" width="10.85546875" customWidth="1"/>
    <col min="14" max="14" width="14.5703125" customWidth="1"/>
    <col min="15" max="15" width="12.85546875" customWidth="1"/>
    <col min="16" max="16" width="12.5703125" customWidth="1"/>
    <col min="17" max="17" width="11" customWidth="1"/>
  </cols>
  <sheetData>
    <row r="1" spans="1:17" s="32" customFormat="1" ht="90" x14ac:dyDescent="0.25">
      <c r="A1" s="31" t="s">
        <v>14</v>
      </c>
      <c r="B1" s="32" t="s">
        <v>60</v>
      </c>
      <c r="C1" s="33" t="s">
        <v>67</v>
      </c>
      <c r="D1" s="33" t="s">
        <v>61</v>
      </c>
      <c r="E1" s="33" t="s">
        <v>62</v>
      </c>
      <c r="F1" s="33" t="s">
        <v>63</v>
      </c>
      <c r="G1" s="33" t="s">
        <v>64</v>
      </c>
      <c r="H1" s="33" t="s">
        <v>32</v>
      </c>
      <c r="I1" s="33" t="s">
        <v>65</v>
      </c>
      <c r="J1" s="33" t="s">
        <v>66</v>
      </c>
      <c r="K1" s="33" t="s">
        <v>68</v>
      </c>
      <c r="L1" s="33" t="s">
        <v>69</v>
      </c>
      <c r="M1" s="33" t="s">
        <v>70</v>
      </c>
      <c r="N1" s="33" t="s">
        <v>71</v>
      </c>
      <c r="O1" s="33" t="s">
        <v>72</v>
      </c>
      <c r="P1" s="33" t="s">
        <v>73</v>
      </c>
      <c r="Q1" s="33" t="s">
        <v>82</v>
      </c>
    </row>
    <row r="2" spans="1:17" x14ac:dyDescent="0.25">
      <c r="A2" s="30">
        <v>3200390</v>
      </c>
      <c r="B2" t="s">
        <v>41</v>
      </c>
      <c r="C2" s="40">
        <v>3841</v>
      </c>
      <c r="D2">
        <v>1684</v>
      </c>
      <c r="E2">
        <v>0</v>
      </c>
      <c r="G2">
        <v>12</v>
      </c>
      <c r="H2">
        <v>0</v>
      </c>
      <c r="I2">
        <v>1696</v>
      </c>
      <c r="J2">
        <v>8338</v>
      </c>
      <c r="K2" s="54">
        <v>114</v>
      </c>
      <c r="L2">
        <f>C2+K2</f>
        <v>3955</v>
      </c>
      <c r="M2" s="15">
        <f>K2/L2</f>
        <v>2.8824273072060681E-2</v>
      </c>
      <c r="N2">
        <f>ROUND(D2*M2,0)</f>
        <v>49</v>
      </c>
      <c r="O2">
        <f>D2-N2</f>
        <v>1635</v>
      </c>
      <c r="P2">
        <f>SUM(E2:H2)</f>
        <v>12</v>
      </c>
      <c r="Q2">
        <f>O2+P2</f>
        <v>1647</v>
      </c>
    </row>
    <row r="3" spans="1:17" x14ac:dyDescent="0.25">
      <c r="A3" s="30">
        <v>3200030</v>
      </c>
      <c r="B3" t="s">
        <v>42</v>
      </c>
      <c r="C3" s="40">
        <v>1700</v>
      </c>
      <c r="D3">
        <v>806</v>
      </c>
      <c r="E3">
        <v>0</v>
      </c>
      <c r="G3">
        <v>21</v>
      </c>
      <c r="H3">
        <v>0</v>
      </c>
      <c r="I3">
        <v>827</v>
      </c>
      <c r="J3">
        <v>4176</v>
      </c>
      <c r="K3" s="54">
        <v>81</v>
      </c>
      <c r="L3">
        <f t="shared" ref="L3:L19" si="0">C3+K3</f>
        <v>1781</v>
      </c>
      <c r="M3" s="15">
        <f t="shared" ref="M3:M18" si="1">K3/L3</f>
        <v>4.5480067377877596E-2</v>
      </c>
      <c r="N3">
        <f t="shared" ref="N3:N18" si="2">ROUND(D3*M3,0)</f>
        <v>37</v>
      </c>
      <c r="O3">
        <f t="shared" ref="O3:O18" si="3">D3-N3</f>
        <v>769</v>
      </c>
      <c r="P3">
        <f t="shared" ref="P3:P19" si="4">SUM(E3:H3)</f>
        <v>21</v>
      </c>
      <c r="Q3">
        <f t="shared" ref="Q3:Q19" si="5">O3+P3</f>
        <v>790</v>
      </c>
    </row>
    <row r="4" spans="1:17" x14ac:dyDescent="0.25">
      <c r="A4" s="30">
        <v>3200060</v>
      </c>
      <c r="B4" t="s">
        <v>43</v>
      </c>
      <c r="C4" s="40">
        <v>186717</v>
      </c>
      <c r="D4">
        <v>77378</v>
      </c>
      <c r="E4">
        <v>206</v>
      </c>
      <c r="G4">
        <v>1135</v>
      </c>
      <c r="H4">
        <v>5</v>
      </c>
      <c r="I4">
        <v>78724</v>
      </c>
      <c r="J4">
        <v>356139</v>
      </c>
      <c r="K4" s="54">
        <v>3302</v>
      </c>
      <c r="L4">
        <f t="shared" si="0"/>
        <v>190019</v>
      </c>
      <c r="M4" s="15">
        <f t="shared" si="1"/>
        <v>1.7377209647456308E-2</v>
      </c>
      <c r="N4">
        <f t="shared" si="2"/>
        <v>1345</v>
      </c>
      <c r="O4">
        <f t="shared" si="3"/>
        <v>76033</v>
      </c>
      <c r="P4">
        <f t="shared" si="4"/>
        <v>1346</v>
      </c>
      <c r="Q4">
        <f t="shared" si="5"/>
        <v>77379</v>
      </c>
    </row>
    <row r="5" spans="1:17" x14ac:dyDescent="0.25">
      <c r="A5" s="30">
        <v>3200090</v>
      </c>
      <c r="B5" t="s">
        <v>44</v>
      </c>
      <c r="C5" s="40">
        <v>2047</v>
      </c>
      <c r="D5">
        <v>948</v>
      </c>
      <c r="E5">
        <v>0</v>
      </c>
      <c r="G5">
        <v>24</v>
      </c>
      <c r="H5">
        <v>0</v>
      </c>
      <c r="I5">
        <v>972</v>
      </c>
      <c r="J5">
        <v>6690</v>
      </c>
      <c r="K5" s="54">
        <v>57</v>
      </c>
      <c r="L5">
        <f t="shared" si="0"/>
        <v>2104</v>
      </c>
      <c r="M5" s="15">
        <f t="shared" si="1"/>
        <v>2.709125475285171E-2</v>
      </c>
      <c r="N5">
        <f t="shared" si="2"/>
        <v>26</v>
      </c>
      <c r="O5">
        <f t="shared" si="3"/>
        <v>922</v>
      </c>
      <c r="P5">
        <f t="shared" si="4"/>
        <v>24</v>
      </c>
      <c r="Q5">
        <f t="shared" si="5"/>
        <v>946</v>
      </c>
    </row>
    <row r="6" spans="1:17" x14ac:dyDescent="0.25">
      <c r="A6" s="30">
        <v>3200120</v>
      </c>
      <c r="B6" t="s">
        <v>45</v>
      </c>
      <c r="C6" s="40">
        <v>3482</v>
      </c>
      <c r="D6">
        <v>1172</v>
      </c>
      <c r="E6">
        <v>0</v>
      </c>
      <c r="G6">
        <v>9</v>
      </c>
      <c r="H6">
        <v>0</v>
      </c>
      <c r="I6">
        <v>1181</v>
      </c>
      <c r="J6">
        <v>10873</v>
      </c>
      <c r="K6" s="54">
        <v>43</v>
      </c>
      <c r="L6">
        <f t="shared" si="0"/>
        <v>3525</v>
      </c>
      <c r="M6" s="15">
        <f t="shared" si="1"/>
        <v>1.2198581560283688E-2</v>
      </c>
      <c r="N6">
        <f t="shared" si="2"/>
        <v>14</v>
      </c>
      <c r="O6">
        <f t="shared" si="3"/>
        <v>1158</v>
      </c>
      <c r="P6">
        <f t="shared" si="4"/>
        <v>9</v>
      </c>
      <c r="Q6">
        <f t="shared" si="5"/>
        <v>1167</v>
      </c>
    </row>
    <row r="7" spans="1:17" x14ac:dyDescent="0.25">
      <c r="A7" s="30">
        <v>3200150</v>
      </c>
      <c r="B7" t="s">
        <v>46</v>
      </c>
      <c r="C7" s="40">
        <v>39</v>
      </c>
      <c r="D7">
        <v>21</v>
      </c>
      <c r="E7">
        <v>0</v>
      </c>
      <c r="G7">
        <v>0</v>
      </c>
      <c r="H7">
        <v>0</v>
      </c>
      <c r="I7">
        <v>21</v>
      </c>
      <c r="J7">
        <v>106</v>
      </c>
      <c r="K7" s="54">
        <v>3</v>
      </c>
      <c r="L7">
        <f t="shared" si="0"/>
        <v>42</v>
      </c>
      <c r="M7" s="15">
        <f t="shared" si="1"/>
        <v>7.1428571428571425E-2</v>
      </c>
      <c r="N7">
        <f t="shared" si="2"/>
        <v>2</v>
      </c>
      <c r="O7">
        <f t="shared" si="3"/>
        <v>19</v>
      </c>
      <c r="P7">
        <f t="shared" si="4"/>
        <v>0</v>
      </c>
      <c r="Q7">
        <f t="shared" si="5"/>
        <v>19</v>
      </c>
    </row>
    <row r="8" spans="1:17" x14ac:dyDescent="0.25">
      <c r="A8" s="30">
        <v>3200180</v>
      </c>
      <c r="B8" t="s">
        <v>47</v>
      </c>
      <c r="C8" s="40">
        <v>63</v>
      </c>
      <c r="D8">
        <v>31</v>
      </c>
      <c r="E8">
        <v>0</v>
      </c>
      <c r="G8">
        <v>0</v>
      </c>
      <c r="H8">
        <v>0</v>
      </c>
      <c r="I8">
        <v>31</v>
      </c>
      <c r="J8">
        <v>331</v>
      </c>
      <c r="K8" s="54">
        <v>4</v>
      </c>
      <c r="L8">
        <f t="shared" si="0"/>
        <v>67</v>
      </c>
      <c r="M8" s="15">
        <f t="shared" si="1"/>
        <v>5.9701492537313432E-2</v>
      </c>
      <c r="N8">
        <f t="shared" si="2"/>
        <v>2</v>
      </c>
      <c r="O8">
        <f t="shared" si="3"/>
        <v>29</v>
      </c>
      <c r="P8">
        <f t="shared" si="4"/>
        <v>0</v>
      </c>
      <c r="Q8">
        <f t="shared" si="5"/>
        <v>29</v>
      </c>
    </row>
    <row r="9" spans="1:17" x14ac:dyDescent="0.25">
      <c r="A9" s="30">
        <v>3200210</v>
      </c>
      <c r="B9" t="s">
        <v>48</v>
      </c>
      <c r="C9" s="40">
        <v>1316</v>
      </c>
      <c r="D9">
        <v>453</v>
      </c>
      <c r="E9">
        <v>0</v>
      </c>
      <c r="G9">
        <v>7</v>
      </c>
      <c r="H9">
        <v>0</v>
      </c>
      <c r="I9">
        <v>460</v>
      </c>
      <c r="J9">
        <v>3442</v>
      </c>
      <c r="K9" s="54">
        <v>18</v>
      </c>
      <c r="L9">
        <f t="shared" si="0"/>
        <v>1334</v>
      </c>
      <c r="M9" s="15">
        <f t="shared" si="1"/>
        <v>1.3493253373313344E-2</v>
      </c>
      <c r="N9">
        <f t="shared" si="2"/>
        <v>6</v>
      </c>
      <c r="O9">
        <f t="shared" si="3"/>
        <v>447</v>
      </c>
      <c r="P9">
        <f t="shared" si="4"/>
        <v>7</v>
      </c>
      <c r="Q9">
        <f t="shared" si="5"/>
        <v>454</v>
      </c>
    </row>
    <row r="10" spans="1:17" x14ac:dyDescent="0.25">
      <c r="A10" s="30">
        <v>3200240</v>
      </c>
      <c r="B10" t="s">
        <v>49</v>
      </c>
      <c r="C10" s="40">
        <v>312</v>
      </c>
      <c r="D10">
        <v>148</v>
      </c>
      <c r="E10">
        <v>0</v>
      </c>
      <c r="G10">
        <v>0</v>
      </c>
      <c r="H10">
        <v>0</v>
      </c>
      <c r="I10">
        <v>148</v>
      </c>
      <c r="J10">
        <v>1158</v>
      </c>
      <c r="K10" s="54">
        <v>6</v>
      </c>
      <c r="L10">
        <f t="shared" si="0"/>
        <v>318</v>
      </c>
      <c r="M10" s="15">
        <f t="shared" si="1"/>
        <v>1.8867924528301886E-2</v>
      </c>
      <c r="N10">
        <f t="shared" si="2"/>
        <v>3</v>
      </c>
      <c r="O10">
        <f t="shared" si="3"/>
        <v>145</v>
      </c>
      <c r="P10">
        <f t="shared" si="4"/>
        <v>0</v>
      </c>
      <c r="Q10">
        <f t="shared" si="5"/>
        <v>145</v>
      </c>
    </row>
    <row r="11" spans="1:17" x14ac:dyDescent="0.25">
      <c r="A11" s="30">
        <v>3200270</v>
      </c>
      <c r="B11" t="s">
        <v>50</v>
      </c>
      <c r="C11" s="40">
        <v>363</v>
      </c>
      <c r="D11">
        <v>166</v>
      </c>
      <c r="E11">
        <v>0</v>
      </c>
      <c r="G11">
        <v>0</v>
      </c>
      <c r="H11">
        <v>0</v>
      </c>
      <c r="I11">
        <v>166</v>
      </c>
      <c r="J11">
        <v>983</v>
      </c>
      <c r="K11" s="54">
        <v>5</v>
      </c>
      <c r="L11">
        <f t="shared" si="0"/>
        <v>368</v>
      </c>
      <c r="M11" s="15">
        <f t="shared" si="1"/>
        <v>1.358695652173913E-2</v>
      </c>
      <c r="N11">
        <f t="shared" si="2"/>
        <v>2</v>
      </c>
      <c r="O11">
        <f t="shared" si="3"/>
        <v>164</v>
      </c>
      <c r="P11">
        <f t="shared" si="4"/>
        <v>0</v>
      </c>
      <c r="Q11">
        <f t="shared" si="5"/>
        <v>164</v>
      </c>
    </row>
    <row r="12" spans="1:17" x14ac:dyDescent="0.25">
      <c r="A12" s="30">
        <v>3200300</v>
      </c>
      <c r="B12" t="s">
        <v>51</v>
      </c>
      <c r="C12" s="40">
        <v>4166</v>
      </c>
      <c r="D12">
        <v>1944</v>
      </c>
      <c r="E12">
        <v>0</v>
      </c>
      <c r="G12">
        <v>29</v>
      </c>
      <c r="H12">
        <v>0</v>
      </c>
      <c r="I12">
        <v>1973</v>
      </c>
      <c r="J12">
        <v>8946</v>
      </c>
      <c r="K12" s="54">
        <v>115</v>
      </c>
      <c r="L12">
        <f t="shared" si="0"/>
        <v>4281</v>
      </c>
      <c r="M12" s="15">
        <f t="shared" si="1"/>
        <v>2.6862882504087832E-2</v>
      </c>
      <c r="N12">
        <f t="shared" si="2"/>
        <v>52</v>
      </c>
      <c r="O12">
        <f t="shared" si="3"/>
        <v>1892</v>
      </c>
      <c r="P12">
        <f t="shared" si="4"/>
        <v>29</v>
      </c>
      <c r="Q12">
        <f t="shared" si="5"/>
        <v>1921</v>
      </c>
    </row>
    <row r="13" spans="1:17" x14ac:dyDescent="0.25">
      <c r="A13" s="30">
        <v>3200330</v>
      </c>
      <c r="B13" t="s">
        <v>52</v>
      </c>
      <c r="C13" s="40">
        <v>259</v>
      </c>
      <c r="D13">
        <v>172</v>
      </c>
      <c r="E13">
        <v>0</v>
      </c>
      <c r="G13">
        <v>0</v>
      </c>
      <c r="H13">
        <v>0</v>
      </c>
      <c r="I13">
        <v>172</v>
      </c>
      <c r="J13">
        <v>576</v>
      </c>
      <c r="K13" s="54">
        <v>11</v>
      </c>
      <c r="L13">
        <f t="shared" si="0"/>
        <v>270</v>
      </c>
      <c r="M13" s="15">
        <f t="shared" si="1"/>
        <v>4.0740740740740744E-2</v>
      </c>
      <c r="N13">
        <f t="shared" si="2"/>
        <v>7</v>
      </c>
      <c r="O13">
        <f t="shared" si="3"/>
        <v>165</v>
      </c>
      <c r="P13">
        <f t="shared" si="4"/>
        <v>0</v>
      </c>
      <c r="Q13">
        <f t="shared" si="5"/>
        <v>165</v>
      </c>
    </row>
    <row r="14" spans="1:17" x14ac:dyDescent="0.25">
      <c r="A14" s="30">
        <v>3200360</v>
      </c>
      <c r="B14" t="s">
        <v>53</v>
      </c>
      <c r="C14" s="40">
        <v>3225</v>
      </c>
      <c r="D14">
        <v>1750</v>
      </c>
      <c r="E14">
        <v>0</v>
      </c>
      <c r="G14">
        <v>49</v>
      </c>
      <c r="H14">
        <v>0</v>
      </c>
      <c r="I14">
        <v>1799</v>
      </c>
      <c r="J14">
        <v>5981</v>
      </c>
      <c r="K14" s="54">
        <v>95</v>
      </c>
      <c r="L14">
        <f t="shared" si="0"/>
        <v>3320</v>
      </c>
      <c r="M14" s="15">
        <f t="shared" si="1"/>
        <v>2.86144578313253E-2</v>
      </c>
      <c r="N14">
        <f t="shared" si="2"/>
        <v>50</v>
      </c>
      <c r="O14">
        <f t="shared" si="3"/>
        <v>1700</v>
      </c>
      <c r="P14">
        <f t="shared" si="4"/>
        <v>49</v>
      </c>
      <c r="Q14">
        <f t="shared" si="5"/>
        <v>1749</v>
      </c>
    </row>
    <row r="15" spans="1:17" x14ac:dyDescent="0.25">
      <c r="A15" s="30">
        <v>3200420</v>
      </c>
      <c r="B15" t="s">
        <v>54</v>
      </c>
      <c r="C15" s="40">
        <v>329</v>
      </c>
      <c r="D15">
        <v>226</v>
      </c>
      <c r="E15">
        <v>0</v>
      </c>
      <c r="G15">
        <v>4</v>
      </c>
      <c r="H15">
        <v>0</v>
      </c>
      <c r="I15">
        <v>230</v>
      </c>
      <c r="J15">
        <v>1007</v>
      </c>
      <c r="K15" s="54">
        <v>4</v>
      </c>
      <c r="L15">
        <f t="shared" si="0"/>
        <v>333</v>
      </c>
      <c r="M15" s="15">
        <f t="shared" si="1"/>
        <v>1.2012012012012012E-2</v>
      </c>
      <c r="N15">
        <f t="shared" si="2"/>
        <v>3</v>
      </c>
      <c r="O15">
        <f t="shared" si="3"/>
        <v>223</v>
      </c>
      <c r="P15">
        <f t="shared" si="4"/>
        <v>4</v>
      </c>
      <c r="Q15">
        <f t="shared" si="5"/>
        <v>227</v>
      </c>
    </row>
    <row r="16" spans="1:17" x14ac:dyDescent="0.25">
      <c r="A16" s="30">
        <v>3200450</v>
      </c>
      <c r="B16" t="s">
        <v>55</v>
      </c>
      <c r="C16" s="40">
        <v>19</v>
      </c>
      <c r="D16">
        <v>51</v>
      </c>
      <c r="E16">
        <v>0</v>
      </c>
      <c r="G16">
        <v>0</v>
      </c>
      <c r="H16">
        <v>0</v>
      </c>
      <c r="I16">
        <v>51</v>
      </c>
      <c r="J16">
        <v>460</v>
      </c>
      <c r="K16" s="54">
        <v>1</v>
      </c>
      <c r="L16">
        <f t="shared" si="0"/>
        <v>20</v>
      </c>
      <c r="M16" s="15">
        <f t="shared" si="1"/>
        <v>0.05</v>
      </c>
      <c r="N16">
        <f t="shared" si="2"/>
        <v>3</v>
      </c>
      <c r="O16">
        <f t="shared" si="3"/>
        <v>48</v>
      </c>
      <c r="P16">
        <f t="shared" si="4"/>
        <v>0</v>
      </c>
      <c r="Q16">
        <f t="shared" si="5"/>
        <v>48</v>
      </c>
    </row>
    <row r="17" spans="1:17" x14ac:dyDescent="0.25">
      <c r="A17" s="30">
        <v>3200480</v>
      </c>
      <c r="B17" t="s">
        <v>56</v>
      </c>
      <c r="C17" s="40">
        <v>30414</v>
      </c>
      <c r="D17">
        <v>12408</v>
      </c>
      <c r="E17">
        <v>88</v>
      </c>
      <c r="G17">
        <v>359</v>
      </c>
      <c r="H17">
        <v>0</v>
      </c>
      <c r="I17">
        <v>12855</v>
      </c>
      <c r="J17">
        <v>71990</v>
      </c>
      <c r="K17" s="54">
        <v>305</v>
      </c>
      <c r="L17">
        <f t="shared" si="0"/>
        <v>30719</v>
      </c>
      <c r="M17" s="15">
        <f t="shared" si="1"/>
        <v>9.928708616816953E-3</v>
      </c>
      <c r="N17">
        <f t="shared" si="2"/>
        <v>123</v>
      </c>
      <c r="O17">
        <f t="shared" si="3"/>
        <v>12285</v>
      </c>
      <c r="P17">
        <f t="shared" si="4"/>
        <v>447</v>
      </c>
      <c r="Q17">
        <f t="shared" si="5"/>
        <v>12732</v>
      </c>
    </row>
    <row r="18" spans="1:17" x14ac:dyDescent="0.25">
      <c r="A18" s="30">
        <v>3200510</v>
      </c>
      <c r="B18" t="s">
        <v>57</v>
      </c>
      <c r="C18" s="40">
        <v>411</v>
      </c>
      <c r="D18">
        <v>241</v>
      </c>
      <c r="E18">
        <v>0</v>
      </c>
      <c r="G18">
        <v>1</v>
      </c>
      <c r="H18">
        <v>0</v>
      </c>
      <c r="I18">
        <v>242</v>
      </c>
      <c r="J18">
        <v>1518</v>
      </c>
      <c r="K18" s="54">
        <v>52</v>
      </c>
      <c r="L18">
        <f t="shared" si="0"/>
        <v>463</v>
      </c>
      <c r="M18" s="15">
        <f t="shared" si="1"/>
        <v>0.11231101511879049</v>
      </c>
      <c r="N18">
        <f t="shared" si="2"/>
        <v>27</v>
      </c>
      <c r="O18">
        <f t="shared" si="3"/>
        <v>214</v>
      </c>
      <c r="P18">
        <f t="shared" si="4"/>
        <v>1</v>
      </c>
      <c r="Q18">
        <f t="shared" si="5"/>
        <v>215</v>
      </c>
    </row>
    <row r="19" spans="1:17" x14ac:dyDescent="0.25">
      <c r="A19" s="30">
        <v>3299999</v>
      </c>
      <c r="B19" t="s">
        <v>59</v>
      </c>
      <c r="C19" s="40">
        <v>0</v>
      </c>
      <c r="D19">
        <v>0</v>
      </c>
      <c r="E19">
        <v>0</v>
      </c>
      <c r="F19">
        <v>697</v>
      </c>
      <c r="G19">
        <v>0</v>
      </c>
      <c r="H19">
        <v>0</v>
      </c>
      <c r="I19">
        <v>697</v>
      </c>
      <c r="J19">
        <v>697</v>
      </c>
      <c r="K19" s="54">
        <v>0</v>
      </c>
      <c r="L19">
        <f t="shared" si="0"/>
        <v>0</v>
      </c>
      <c r="P19">
        <f t="shared" si="4"/>
        <v>697</v>
      </c>
      <c r="Q19">
        <f t="shared" si="5"/>
        <v>697</v>
      </c>
    </row>
    <row r="20" spans="1:17" s="28" customFormat="1" x14ac:dyDescent="0.25">
      <c r="A20" s="29">
        <v>9999999</v>
      </c>
      <c r="B20" s="28" t="s">
        <v>65</v>
      </c>
      <c r="C20" s="28">
        <f>SUM(C2:C19)</f>
        <v>238703</v>
      </c>
      <c r="D20" s="28">
        <f t="shared" ref="D20:L20" si="6">SUM(D2:D19)</f>
        <v>99599</v>
      </c>
      <c r="E20" s="28">
        <f t="shared" si="6"/>
        <v>294</v>
      </c>
      <c r="F20" s="28">
        <f t="shared" si="6"/>
        <v>697</v>
      </c>
      <c r="G20" s="28">
        <f t="shared" si="6"/>
        <v>1650</v>
      </c>
      <c r="H20" s="28">
        <f t="shared" si="6"/>
        <v>5</v>
      </c>
      <c r="I20" s="28">
        <f t="shared" si="6"/>
        <v>102245</v>
      </c>
      <c r="J20" s="28">
        <f t="shared" si="6"/>
        <v>483411</v>
      </c>
      <c r="K20" s="28">
        <f t="shared" si="6"/>
        <v>4216</v>
      </c>
      <c r="L20" s="28">
        <f t="shared" si="6"/>
        <v>242919</v>
      </c>
      <c r="N20" s="28">
        <f t="shared" ref="N20" si="7">SUM(N2:N19)</f>
        <v>1751</v>
      </c>
      <c r="O20" s="28">
        <f t="shared" ref="O20" si="8">SUM(O2:O19)</f>
        <v>97848</v>
      </c>
      <c r="P20" s="28">
        <f t="shared" ref="P20" si="9">SUM(P2:P19)</f>
        <v>2646</v>
      </c>
      <c r="Q20" s="28">
        <f t="shared" ref="Q20" si="10">SUM(Q2:Q19)</f>
        <v>100494</v>
      </c>
    </row>
    <row r="23" spans="1:17" x14ac:dyDescent="0.25">
      <c r="B23" s="28" t="s">
        <v>109</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9"/>
  <sheetViews>
    <sheetView workbookViewId="0">
      <selection activeCell="G4" sqref="G4"/>
    </sheetView>
  </sheetViews>
  <sheetFormatPr defaultRowHeight="15" x14ac:dyDescent="0.25"/>
  <cols>
    <col min="2" max="2" width="31.28515625" bestFit="1" customWidth="1"/>
    <col min="3" max="3" width="14.28515625" customWidth="1"/>
    <col min="5" max="5" width="15.140625" customWidth="1"/>
    <col min="6" max="6" width="14" customWidth="1"/>
    <col min="7" max="7" width="17.5703125" customWidth="1"/>
    <col min="8" max="8" width="11.85546875" customWidth="1"/>
    <col min="9" max="9" width="13.42578125" customWidth="1"/>
    <col min="10" max="10" width="10.140625" customWidth="1"/>
  </cols>
  <sheetData>
    <row r="1" spans="1:12" s="36" customFormat="1" ht="90" x14ac:dyDescent="0.25">
      <c r="A1" s="31" t="s">
        <v>14</v>
      </c>
      <c r="B1" s="32" t="s">
        <v>60</v>
      </c>
      <c r="C1" s="33" t="s">
        <v>90</v>
      </c>
      <c r="D1" s="33" t="s">
        <v>75</v>
      </c>
      <c r="E1" s="33" t="s">
        <v>79</v>
      </c>
      <c r="F1" s="33" t="s">
        <v>80</v>
      </c>
      <c r="G1" s="33" t="s">
        <v>83</v>
      </c>
      <c r="H1" s="33" t="s">
        <v>84</v>
      </c>
      <c r="I1" s="33" t="s">
        <v>85</v>
      </c>
      <c r="J1" s="33" t="s">
        <v>86</v>
      </c>
    </row>
    <row r="2" spans="1:12" x14ac:dyDescent="0.25">
      <c r="A2" s="30">
        <v>3200390</v>
      </c>
      <c r="B2" t="s">
        <v>41</v>
      </c>
      <c r="C2">
        <v>471</v>
      </c>
      <c r="D2">
        <f>'Formula Count Adjustments'!J2</f>
        <v>8338</v>
      </c>
      <c r="E2">
        <f>D2-C2</f>
        <v>7867</v>
      </c>
      <c r="F2">
        <f>'Formula Count Adjustments'!Q2</f>
        <v>1647</v>
      </c>
      <c r="G2" s="15">
        <f>F2/E2</f>
        <v>0.20935553578238211</v>
      </c>
      <c r="H2">
        <f>IF(AND($F2&gt;=10, $G2&gt;0.02),1,0)</f>
        <v>1</v>
      </c>
      <c r="I2">
        <f>IF(AND($H2=1, OR($G2&gt;0.15,$G2&gt;6500)),1,0)</f>
        <v>1</v>
      </c>
      <c r="J2">
        <f>IF(AND($F2&gt;=10, $G2&gt;=0.05),1,0)</f>
        <v>1</v>
      </c>
      <c r="L2">
        <v>471</v>
      </c>
    </row>
    <row r="3" spans="1:12" x14ac:dyDescent="0.25">
      <c r="A3" s="30">
        <v>3200030</v>
      </c>
      <c r="B3" t="s">
        <v>42</v>
      </c>
      <c r="C3">
        <v>430</v>
      </c>
      <c r="D3">
        <f>'Formula Count Adjustments'!J3</f>
        <v>4176</v>
      </c>
      <c r="E3">
        <f t="shared" ref="E3:E19" si="0">D3-C3</f>
        <v>3746</v>
      </c>
      <c r="F3">
        <f>'Formula Count Adjustments'!Q3</f>
        <v>790</v>
      </c>
      <c r="G3" s="15">
        <f t="shared" ref="G3:G20" si="1">F3/E3</f>
        <v>0.21089161772557394</v>
      </c>
      <c r="H3">
        <f t="shared" ref="H3:H20" si="2">IF(AND($F3&gt;=10, $G3&gt;0.02),1,0)</f>
        <v>1</v>
      </c>
      <c r="I3">
        <f t="shared" ref="I3:I20" si="3">IF(AND($H3=1, OR($G3&gt;0.15,$G3&gt;6500)),1,0)</f>
        <v>1</v>
      </c>
      <c r="J3">
        <f t="shared" ref="J3:J20" si="4">IF(AND($F3&gt;=10, $G3&gt;=0.05),1,0)</f>
        <v>1</v>
      </c>
      <c r="L3">
        <v>430</v>
      </c>
    </row>
    <row r="4" spans="1:12" x14ac:dyDescent="0.25">
      <c r="A4" s="30">
        <v>3200060</v>
      </c>
      <c r="B4" t="s">
        <v>43</v>
      </c>
      <c r="C4">
        <v>23222</v>
      </c>
      <c r="D4">
        <f>'Formula Count Adjustments'!J4</f>
        <v>356139</v>
      </c>
      <c r="E4">
        <f t="shared" si="0"/>
        <v>332917</v>
      </c>
      <c r="F4">
        <f>'Formula Count Adjustments'!Q4</f>
        <v>77379</v>
      </c>
      <c r="G4" s="15">
        <f t="shared" si="1"/>
        <v>0.23242730169982309</v>
      </c>
      <c r="H4">
        <f t="shared" si="2"/>
        <v>1</v>
      </c>
      <c r="I4">
        <f t="shared" si="3"/>
        <v>1</v>
      </c>
      <c r="J4">
        <f t="shared" si="4"/>
        <v>1</v>
      </c>
      <c r="L4">
        <v>23222</v>
      </c>
    </row>
    <row r="5" spans="1:12" x14ac:dyDescent="0.25">
      <c r="A5" s="30">
        <v>3200090</v>
      </c>
      <c r="B5" t="s">
        <v>44</v>
      </c>
      <c r="C5">
        <v>156</v>
      </c>
      <c r="D5">
        <f>'Formula Count Adjustments'!J5</f>
        <v>6690</v>
      </c>
      <c r="E5">
        <f t="shared" si="0"/>
        <v>6534</v>
      </c>
      <c r="F5">
        <f>'Formula Count Adjustments'!Q5</f>
        <v>946</v>
      </c>
      <c r="G5" s="15">
        <f t="shared" si="1"/>
        <v>0.14478114478114479</v>
      </c>
      <c r="H5">
        <f t="shared" si="2"/>
        <v>1</v>
      </c>
      <c r="I5">
        <f t="shared" si="3"/>
        <v>0</v>
      </c>
      <c r="J5">
        <f t="shared" si="4"/>
        <v>1</v>
      </c>
      <c r="L5">
        <v>156</v>
      </c>
    </row>
    <row r="6" spans="1:12" x14ac:dyDescent="0.25">
      <c r="A6" s="30">
        <v>3200120</v>
      </c>
      <c r="B6" t="s">
        <v>45</v>
      </c>
      <c r="C6">
        <v>286</v>
      </c>
      <c r="D6">
        <f>'Formula Count Adjustments'!J6</f>
        <v>10873</v>
      </c>
      <c r="E6">
        <f t="shared" si="0"/>
        <v>10587</v>
      </c>
      <c r="F6">
        <f>'Formula Count Adjustments'!Q6</f>
        <v>1167</v>
      </c>
      <c r="G6" s="15">
        <f t="shared" si="1"/>
        <v>0.11022952677812412</v>
      </c>
      <c r="H6">
        <f t="shared" si="2"/>
        <v>1</v>
      </c>
      <c r="I6">
        <f t="shared" si="3"/>
        <v>0</v>
      </c>
      <c r="J6">
        <f t="shared" si="4"/>
        <v>1</v>
      </c>
      <c r="L6">
        <v>286</v>
      </c>
    </row>
    <row r="7" spans="1:12" x14ac:dyDescent="0.25">
      <c r="A7" s="30">
        <v>3200150</v>
      </c>
      <c r="B7" t="s">
        <v>46</v>
      </c>
      <c r="C7">
        <v>2</v>
      </c>
      <c r="D7">
        <f>'Formula Count Adjustments'!J7</f>
        <v>106</v>
      </c>
      <c r="E7">
        <f t="shared" si="0"/>
        <v>104</v>
      </c>
      <c r="F7">
        <f>'Formula Count Adjustments'!Q7</f>
        <v>19</v>
      </c>
      <c r="G7" s="15">
        <f t="shared" si="1"/>
        <v>0.18269230769230768</v>
      </c>
      <c r="H7">
        <f t="shared" si="2"/>
        <v>1</v>
      </c>
      <c r="I7">
        <f t="shared" si="3"/>
        <v>1</v>
      </c>
      <c r="J7">
        <f t="shared" si="4"/>
        <v>1</v>
      </c>
      <c r="L7">
        <v>2</v>
      </c>
    </row>
    <row r="8" spans="1:12" x14ac:dyDescent="0.25">
      <c r="A8" s="30">
        <v>3200180</v>
      </c>
      <c r="B8" t="s">
        <v>47</v>
      </c>
      <c r="C8">
        <v>7</v>
      </c>
      <c r="D8">
        <f>'Formula Count Adjustments'!J8</f>
        <v>331</v>
      </c>
      <c r="E8">
        <f t="shared" si="0"/>
        <v>324</v>
      </c>
      <c r="F8">
        <f>'Formula Count Adjustments'!Q8</f>
        <v>29</v>
      </c>
      <c r="G8" s="15">
        <f t="shared" si="1"/>
        <v>8.9506172839506168E-2</v>
      </c>
      <c r="H8">
        <f t="shared" si="2"/>
        <v>1</v>
      </c>
      <c r="I8">
        <f t="shared" si="3"/>
        <v>0</v>
      </c>
      <c r="J8">
        <f t="shared" si="4"/>
        <v>1</v>
      </c>
      <c r="L8">
        <v>7</v>
      </c>
    </row>
    <row r="9" spans="1:12" x14ac:dyDescent="0.25">
      <c r="A9" s="30">
        <v>3200210</v>
      </c>
      <c r="B9" t="s">
        <v>48</v>
      </c>
      <c r="C9">
        <v>69</v>
      </c>
      <c r="D9">
        <f>'Formula Count Adjustments'!J9</f>
        <v>3442</v>
      </c>
      <c r="E9">
        <f t="shared" si="0"/>
        <v>3373</v>
      </c>
      <c r="F9">
        <f>'Formula Count Adjustments'!Q9</f>
        <v>454</v>
      </c>
      <c r="G9" s="15">
        <f t="shared" si="1"/>
        <v>0.13459828046249631</v>
      </c>
      <c r="H9">
        <f t="shared" si="2"/>
        <v>1</v>
      </c>
      <c r="I9">
        <f t="shared" si="3"/>
        <v>0</v>
      </c>
      <c r="J9">
        <f t="shared" si="4"/>
        <v>1</v>
      </c>
      <c r="L9">
        <v>69</v>
      </c>
    </row>
    <row r="10" spans="1:12" x14ac:dyDescent="0.25">
      <c r="A10" s="30">
        <v>3200240</v>
      </c>
      <c r="B10" t="s">
        <v>49</v>
      </c>
      <c r="C10">
        <v>23</v>
      </c>
      <c r="D10">
        <f>'Formula Count Adjustments'!J10</f>
        <v>1158</v>
      </c>
      <c r="E10">
        <f t="shared" si="0"/>
        <v>1135</v>
      </c>
      <c r="F10">
        <f>'Formula Count Adjustments'!Q10</f>
        <v>145</v>
      </c>
      <c r="G10" s="15">
        <f t="shared" si="1"/>
        <v>0.1277533039647577</v>
      </c>
      <c r="H10">
        <f t="shared" si="2"/>
        <v>1</v>
      </c>
      <c r="I10">
        <f t="shared" si="3"/>
        <v>0</v>
      </c>
      <c r="J10">
        <f t="shared" si="4"/>
        <v>1</v>
      </c>
      <c r="L10">
        <v>23</v>
      </c>
    </row>
    <row r="11" spans="1:12" x14ac:dyDescent="0.25">
      <c r="A11" s="30">
        <v>3200270</v>
      </c>
      <c r="B11" t="s">
        <v>50</v>
      </c>
      <c r="C11">
        <v>15</v>
      </c>
      <c r="D11">
        <f>'Formula Count Adjustments'!J11</f>
        <v>983</v>
      </c>
      <c r="E11">
        <f t="shared" si="0"/>
        <v>968</v>
      </c>
      <c r="F11">
        <f>'Formula Count Adjustments'!Q11</f>
        <v>164</v>
      </c>
      <c r="G11" s="15">
        <f t="shared" si="1"/>
        <v>0.16942148760330578</v>
      </c>
      <c r="H11">
        <f t="shared" si="2"/>
        <v>1</v>
      </c>
      <c r="I11">
        <f t="shared" si="3"/>
        <v>1</v>
      </c>
      <c r="J11">
        <f t="shared" si="4"/>
        <v>1</v>
      </c>
      <c r="L11">
        <v>15</v>
      </c>
    </row>
    <row r="12" spans="1:12" x14ac:dyDescent="0.25">
      <c r="A12" s="30">
        <v>3200300</v>
      </c>
      <c r="B12" t="s">
        <v>51</v>
      </c>
      <c r="C12">
        <v>315</v>
      </c>
      <c r="D12">
        <f>'Formula Count Adjustments'!J12</f>
        <v>8946</v>
      </c>
      <c r="E12">
        <f t="shared" si="0"/>
        <v>8631</v>
      </c>
      <c r="F12">
        <f>'Formula Count Adjustments'!Q12</f>
        <v>1921</v>
      </c>
      <c r="G12" s="15">
        <f t="shared" si="1"/>
        <v>0.22256980651141234</v>
      </c>
      <c r="H12">
        <f t="shared" si="2"/>
        <v>1</v>
      </c>
      <c r="I12">
        <f t="shared" si="3"/>
        <v>1</v>
      </c>
      <c r="J12">
        <f t="shared" si="4"/>
        <v>1</v>
      </c>
      <c r="L12">
        <v>315</v>
      </c>
    </row>
    <row r="13" spans="1:12" x14ac:dyDescent="0.25">
      <c r="A13" s="30">
        <v>3200330</v>
      </c>
      <c r="B13" t="s">
        <v>52</v>
      </c>
      <c r="C13">
        <v>21</v>
      </c>
      <c r="D13">
        <f>'Formula Count Adjustments'!J13</f>
        <v>576</v>
      </c>
      <c r="E13">
        <f t="shared" si="0"/>
        <v>555</v>
      </c>
      <c r="F13">
        <f>'Formula Count Adjustments'!Q13</f>
        <v>165</v>
      </c>
      <c r="G13" s="15">
        <f t="shared" si="1"/>
        <v>0.29729729729729731</v>
      </c>
      <c r="H13">
        <f t="shared" si="2"/>
        <v>1</v>
      </c>
      <c r="I13">
        <f t="shared" si="3"/>
        <v>1</v>
      </c>
      <c r="J13">
        <f t="shared" si="4"/>
        <v>1</v>
      </c>
      <c r="L13">
        <v>21</v>
      </c>
    </row>
    <row r="14" spans="1:12" x14ac:dyDescent="0.25">
      <c r="A14" s="30">
        <v>3200360</v>
      </c>
      <c r="B14" t="s">
        <v>53</v>
      </c>
      <c r="C14">
        <v>225</v>
      </c>
      <c r="D14">
        <f>'Formula Count Adjustments'!J14</f>
        <v>5981</v>
      </c>
      <c r="E14">
        <f t="shared" si="0"/>
        <v>5756</v>
      </c>
      <c r="F14">
        <f>'Formula Count Adjustments'!Q14</f>
        <v>1749</v>
      </c>
      <c r="G14" s="15">
        <f t="shared" si="1"/>
        <v>0.30385684503127169</v>
      </c>
      <c r="H14">
        <f t="shared" si="2"/>
        <v>1</v>
      </c>
      <c r="I14">
        <f t="shared" si="3"/>
        <v>1</v>
      </c>
      <c r="J14">
        <f t="shared" si="4"/>
        <v>1</v>
      </c>
      <c r="L14">
        <v>225</v>
      </c>
    </row>
    <row r="15" spans="1:12" x14ac:dyDescent="0.25">
      <c r="A15" s="30">
        <v>3200420</v>
      </c>
      <c r="B15" t="s">
        <v>54</v>
      </c>
      <c r="C15">
        <v>5</v>
      </c>
      <c r="D15">
        <f>'Formula Count Adjustments'!J15</f>
        <v>1007</v>
      </c>
      <c r="E15">
        <f t="shared" si="0"/>
        <v>1002</v>
      </c>
      <c r="F15">
        <f>'Formula Count Adjustments'!Q15</f>
        <v>227</v>
      </c>
      <c r="G15" s="15">
        <f t="shared" si="1"/>
        <v>0.22654690618762474</v>
      </c>
      <c r="H15">
        <f t="shared" si="2"/>
        <v>1</v>
      </c>
      <c r="I15">
        <f t="shared" si="3"/>
        <v>1</v>
      </c>
      <c r="J15">
        <f t="shared" si="4"/>
        <v>1</v>
      </c>
      <c r="L15">
        <v>5</v>
      </c>
    </row>
    <row r="16" spans="1:12" x14ac:dyDescent="0.25">
      <c r="A16" s="30">
        <v>3200450</v>
      </c>
      <c r="B16" t="s">
        <v>55</v>
      </c>
      <c r="C16">
        <v>10</v>
      </c>
      <c r="D16">
        <f>'Formula Count Adjustments'!J16</f>
        <v>460</v>
      </c>
      <c r="E16">
        <f t="shared" si="0"/>
        <v>450</v>
      </c>
      <c r="F16">
        <f>'Formula Count Adjustments'!Q16</f>
        <v>48</v>
      </c>
      <c r="G16" s="15">
        <f t="shared" si="1"/>
        <v>0.10666666666666667</v>
      </c>
      <c r="H16">
        <f t="shared" si="2"/>
        <v>1</v>
      </c>
      <c r="I16">
        <f t="shared" si="3"/>
        <v>0</v>
      </c>
      <c r="J16">
        <f t="shared" si="4"/>
        <v>1</v>
      </c>
      <c r="L16">
        <v>10</v>
      </c>
    </row>
    <row r="17" spans="1:12" x14ac:dyDescent="0.25">
      <c r="A17" s="30">
        <v>3200480</v>
      </c>
      <c r="B17" t="s">
        <v>56</v>
      </c>
      <c r="C17">
        <v>3699</v>
      </c>
      <c r="D17">
        <f>'Formula Count Adjustments'!J17</f>
        <v>71990</v>
      </c>
      <c r="E17">
        <f t="shared" si="0"/>
        <v>68291</v>
      </c>
      <c r="F17">
        <f>'Formula Count Adjustments'!Q17</f>
        <v>12732</v>
      </c>
      <c r="G17" s="15">
        <f t="shared" si="1"/>
        <v>0.18643745149434041</v>
      </c>
      <c r="H17">
        <f t="shared" si="2"/>
        <v>1</v>
      </c>
      <c r="I17">
        <f t="shared" si="3"/>
        <v>1</v>
      </c>
      <c r="J17">
        <f t="shared" si="4"/>
        <v>1</v>
      </c>
      <c r="L17">
        <v>3699</v>
      </c>
    </row>
    <row r="18" spans="1:12" x14ac:dyDescent="0.25">
      <c r="A18" s="30">
        <v>3200510</v>
      </c>
      <c r="B18" t="s">
        <v>57</v>
      </c>
      <c r="C18">
        <v>161</v>
      </c>
      <c r="D18">
        <f>'Formula Count Adjustments'!J18</f>
        <v>1518</v>
      </c>
      <c r="E18">
        <f t="shared" si="0"/>
        <v>1357</v>
      </c>
      <c r="F18">
        <f>'Formula Count Adjustments'!Q18</f>
        <v>215</v>
      </c>
      <c r="G18" s="15">
        <f t="shared" si="1"/>
        <v>0.15843773028739869</v>
      </c>
      <c r="H18">
        <f t="shared" si="2"/>
        <v>1</v>
      </c>
      <c r="I18">
        <f t="shared" si="3"/>
        <v>1</v>
      </c>
      <c r="J18">
        <f t="shared" si="4"/>
        <v>1</v>
      </c>
      <c r="L18">
        <v>161</v>
      </c>
    </row>
    <row r="19" spans="1:12" x14ac:dyDescent="0.25">
      <c r="A19" s="30">
        <v>3299999</v>
      </c>
      <c r="B19" t="s">
        <v>59</v>
      </c>
      <c r="D19">
        <f>'Formula Count Adjustments'!J19</f>
        <v>697</v>
      </c>
      <c r="E19">
        <f t="shared" si="0"/>
        <v>697</v>
      </c>
      <c r="F19">
        <f>'Formula Count Adjustments'!Q19</f>
        <v>697</v>
      </c>
      <c r="G19" s="15">
        <f t="shared" si="1"/>
        <v>1</v>
      </c>
      <c r="H19">
        <f t="shared" si="2"/>
        <v>1</v>
      </c>
      <c r="I19">
        <f t="shared" si="3"/>
        <v>1</v>
      </c>
      <c r="J19">
        <f t="shared" si="4"/>
        <v>1</v>
      </c>
    </row>
    <row r="20" spans="1:12" s="35" customFormat="1" x14ac:dyDescent="0.25">
      <c r="A20" s="34">
        <v>9999999</v>
      </c>
      <c r="B20" s="35" t="s">
        <v>74</v>
      </c>
      <c r="E20" s="35">
        <f>C23</f>
        <v>19148</v>
      </c>
      <c r="F20" s="35">
        <f>'Formula Count Adjustments'!N20</f>
        <v>1751</v>
      </c>
      <c r="G20" s="50">
        <f t="shared" si="1"/>
        <v>9.1445581783998323E-2</v>
      </c>
      <c r="H20" s="35">
        <f t="shared" si="2"/>
        <v>1</v>
      </c>
      <c r="I20" s="35">
        <f t="shared" si="3"/>
        <v>0</v>
      </c>
      <c r="J20" s="35">
        <f t="shared" si="4"/>
        <v>1</v>
      </c>
    </row>
    <row r="21" spans="1:12" x14ac:dyDescent="0.25">
      <c r="B21" t="s">
        <v>65</v>
      </c>
      <c r="D21">
        <f>SUM(D2:D20)</f>
        <v>483411</v>
      </c>
    </row>
    <row r="23" spans="1:12" x14ac:dyDescent="0.25">
      <c r="A23" t="s">
        <v>76</v>
      </c>
      <c r="C23">
        <v>19148</v>
      </c>
    </row>
    <row r="24" spans="1:12" x14ac:dyDescent="0.25">
      <c r="C24">
        <v>1751</v>
      </c>
    </row>
    <row r="25" spans="1:12" x14ac:dyDescent="0.25">
      <c r="B25" t="s">
        <v>77</v>
      </c>
      <c r="C25">
        <f>SUM(C2:C18)</f>
        <v>29117</v>
      </c>
    </row>
    <row r="27" spans="1:12" x14ac:dyDescent="0.25">
      <c r="B27" t="s">
        <v>78</v>
      </c>
    </row>
    <row r="29" spans="1:12" x14ac:dyDescent="0.25">
      <c r="B29" s="28" t="s">
        <v>109</v>
      </c>
    </row>
  </sheetData>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25"/>
  <sheetViews>
    <sheetView topLeftCell="C1" workbookViewId="0">
      <selection activeCell="L2" sqref="L2"/>
    </sheetView>
  </sheetViews>
  <sheetFormatPr defaultRowHeight="15" x14ac:dyDescent="0.25"/>
  <cols>
    <col min="2" max="2" width="31.28515625" bestFit="1" customWidth="1"/>
    <col min="3" max="3" width="11.85546875" customWidth="1"/>
    <col min="6" max="6" width="12.5703125" customWidth="1"/>
    <col min="7" max="7" width="11.7109375" customWidth="1"/>
    <col min="8" max="8" width="14.85546875" customWidth="1"/>
    <col min="9" max="9" width="14.5703125" customWidth="1"/>
    <col min="10" max="10" width="13.85546875" bestFit="1" customWidth="1"/>
    <col min="11" max="11" width="16.42578125" customWidth="1"/>
    <col min="12" max="12" width="13.140625" customWidth="1"/>
    <col min="13" max="13" width="12.42578125" customWidth="1"/>
    <col min="16" max="16" width="12.85546875" customWidth="1"/>
    <col min="17" max="17" width="13.85546875" bestFit="1" customWidth="1"/>
    <col min="18" max="18" width="12.85546875" customWidth="1"/>
    <col min="19" max="19" width="11.28515625" customWidth="1"/>
    <col min="20" max="20" width="13.85546875" bestFit="1" customWidth="1"/>
    <col min="21" max="21" width="15.42578125" customWidth="1"/>
    <col min="22" max="22" width="16.28515625" customWidth="1"/>
    <col min="23" max="23" width="14.5703125" customWidth="1"/>
    <col min="24" max="24" width="14.140625" customWidth="1"/>
    <col min="25" max="25" width="11.140625" bestFit="1" customWidth="1"/>
    <col min="26" max="26" width="14" customWidth="1"/>
    <col min="27" max="27" width="13.42578125" customWidth="1"/>
    <col min="28" max="28" width="14.42578125" customWidth="1"/>
    <col min="29" max="29" width="13.28515625" customWidth="1"/>
  </cols>
  <sheetData>
    <row r="1" spans="1:29" s="36" customFormat="1" ht="90" x14ac:dyDescent="0.25">
      <c r="A1" s="31" t="s">
        <v>14</v>
      </c>
      <c r="B1" s="32" t="s">
        <v>60</v>
      </c>
      <c r="C1" s="33" t="s">
        <v>93</v>
      </c>
      <c r="D1" s="33" t="s">
        <v>87</v>
      </c>
      <c r="E1" s="33" t="s">
        <v>88</v>
      </c>
      <c r="F1" s="33" t="s">
        <v>81</v>
      </c>
      <c r="G1" s="33" t="s">
        <v>89</v>
      </c>
      <c r="H1" s="33" t="s">
        <v>71</v>
      </c>
      <c r="I1" s="33" t="s">
        <v>91</v>
      </c>
      <c r="J1" s="33" t="s">
        <v>92</v>
      </c>
      <c r="K1" s="33" t="s">
        <v>94</v>
      </c>
      <c r="L1" s="33" t="s">
        <v>83</v>
      </c>
      <c r="M1" s="33" t="s">
        <v>95</v>
      </c>
      <c r="N1" s="33" t="s">
        <v>96</v>
      </c>
      <c r="O1" s="33" t="s">
        <v>97</v>
      </c>
      <c r="P1" s="33" t="s">
        <v>105</v>
      </c>
      <c r="Q1" s="33" t="s">
        <v>98</v>
      </c>
      <c r="R1" s="33" t="s">
        <v>100</v>
      </c>
      <c r="S1" s="33" t="s">
        <v>99</v>
      </c>
      <c r="T1" s="33" t="s">
        <v>101</v>
      </c>
      <c r="U1" s="33" t="s">
        <v>102</v>
      </c>
      <c r="V1" s="33" t="s">
        <v>103</v>
      </c>
      <c r="W1" s="33" t="s">
        <v>99</v>
      </c>
      <c r="X1" s="33" t="s">
        <v>101</v>
      </c>
      <c r="Y1" s="33" t="s">
        <v>102</v>
      </c>
      <c r="Z1" s="33" t="s">
        <v>104</v>
      </c>
      <c r="AA1" s="33" t="s">
        <v>99</v>
      </c>
      <c r="AB1" s="33" t="s">
        <v>101</v>
      </c>
      <c r="AC1" s="33" t="s">
        <v>102</v>
      </c>
    </row>
    <row r="2" spans="1:29" x14ac:dyDescent="0.25">
      <c r="A2" s="30">
        <v>3200390</v>
      </c>
      <c r="B2" t="s">
        <v>41</v>
      </c>
      <c r="C2" s="16">
        <f>Allocation!K9</f>
        <v>781968.69680154778</v>
      </c>
      <c r="D2">
        <f>'Formula Count Adjustments'!D2</f>
        <v>1684</v>
      </c>
      <c r="E2">
        <f>'Formula Count Adjustments'!P2</f>
        <v>12</v>
      </c>
      <c r="F2">
        <f>D2+E2</f>
        <v>1696</v>
      </c>
      <c r="G2" s="37">
        <f>C2/F2</f>
        <v>461.06644858581825</v>
      </c>
      <c r="H2">
        <f>'Formula Count Adjustments'!N2</f>
        <v>49</v>
      </c>
      <c r="I2" s="37">
        <f>IF('Formula Eligibility'!$H$20=1,G2*H2,0)</f>
        <v>22592.255980705093</v>
      </c>
      <c r="J2" s="37">
        <f>C2-I2</f>
        <v>759376.44082084263</v>
      </c>
      <c r="K2" s="37">
        <v>785272.04063190066</v>
      </c>
      <c r="L2" s="15">
        <f>'Formula Eligibility'!G2</f>
        <v>0.20935553578238211</v>
      </c>
      <c r="M2" s="39">
        <f>IF($L2&lt;0.15,0.85,0)</f>
        <v>0</v>
      </c>
      <c r="N2" s="39">
        <f>IF(AND($L2&gt;=0.15,$L2&lt;0.3),0.9,0)</f>
        <v>0.9</v>
      </c>
      <c r="O2" s="39">
        <f>IF($L2&gt;=0.3,0.95,0)</f>
        <v>0</v>
      </c>
      <c r="P2" s="15">
        <f>MAX(M2:O2)</f>
        <v>0.9</v>
      </c>
      <c r="Q2" s="37">
        <f>IF(J2&gt;0, K2*P2,0)</f>
        <v>706744.83656871063</v>
      </c>
      <c r="R2">
        <f>IF(J2&lt;=Q2,Q2,0)</f>
        <v>0</v>
      </c>
      <c r="S2" s="19">
        <f>IF($R2=0,J2,0)</f>
        <v>759376.44082084263</v>
      </c>
      <c r="T2" s="37">
        <f>((S2/SUM($S$2:$S$20)))*(SUM($J$2:$J$20)-SUM($R$2:$R$20))</f>
        <v>759376.44082084275</v>
      </c>
      <c r="U2" s="37">
        <f>$R2+T2</f>
        <v>759376.44082084275</v>
      </c>
      <c r="V2">
        <f>IF(U2&lt;Q2,Q2,0)</f>
        <v>0</v>
      </c>
      <c r="W2" s="19">
        <f>IF($R2+V2=0,U2,0)</f>
        <v>759376.44082084275</v>
      </c>
      <c r="X2" s="37">
        <f>((W2/SUM($W$2:$W$20)))*(SUM($J$2:$J$20)-SUM($R$2:$R$20)-SUM($V$2:$V$20))</f>
        <v>759376.44082084275</v>
      </c>
      <c r="Y2" s="37">
        <f>$R2+$V2+X2</f>
        <v>759376.44082084275</v>
      </c>
      <c r="Z2">
        <f>IF(Y2&lt;Q2,Q2,0)</f>
        <v>0</v>
      </c>
      <c r="AA2" s="19">
        <f>IF($R2+$V2+Z2=0,Y2,0)</f>
        <v>759376.44082084275</v>
      </c>
      <c r="AB2" s="37">
        <f>((AA2/SUM($AA$2:$AA$20)))*(SUM($J$2:$J$20)-SUM($R$2:$R$20)-SUM($V$2:$V$20)-SUM($Z$2:$Z$20))</f>
        <v>759376.44082084275</v>
      </c>
      <c r="AC2" s="37">
        <f>$R2+$V2+$Z2+AB2</f>
        <v>759376.44082084275</v>
      </c>
    </row>
    <row r="3" spans="1:29" x14ac:dyDescent="0.25">
      <c r="A3" s="30">
        <v>3200030</v>
      </c>
      <c r="B3" t="s">
        <v>42</v>
      </c>
      <c r="C3" s="16">
        <f>Allocation!K10</f>
        <v>381301.95298047172</v>
      </c>
      <c r="D3">
        <f>'Formula Count Adjustments'!D3</f>
        <v>806</v>
      </c>
      <c r="E3">
        <f>'Formula Count Adjustments'!P3</f>
        <v>21</v>
      </c>
      <c r="F3">
        <f t="shared" ref="F3:F20" si="0">D3+E3</f>
        <v>827</v>
      </c>
      <c r="G3" s="37">
        <f t="shared" ref="G3:G19" si="1">C3/F3</f>
        <v>461.06644858581831</v>
      </c>
      <c r="H3">
        <f>'Formula Count Adjustments'!N3</f>
        <v>37</v>
      </c>
      <c r="I3" s="37">
        <f>IF('Formula Eligibility'!$H$20=1,G3*H3,0)</f>
        <v>17059.458597675279</v>
      </c>
      <c r="J3" s="37">
        <f t="shared" ref="J3:J19" si="2">C3-I3</f>
        <v>364242.49438279646</v>
      </c>
      <c r="K3" s="37">
        <v>371416.19477449375</v>
      </c>
      <c r="L3" s="15">
        <f>'Formula Eligibility'!G3</f>
        <v>0.21089161772557394</v>
      </c>
      <c r="M3" s="39">
        <f t="shared" ref="M3:M20" si="3">IF($L3&lt;0.15,0.85,0)</f>
        <v>0</v>
      </c>
      <c r="N3" s="39">
        <f t="shared" ref="N3:N20" si="4">IF(AND($L3&gt;=0.15,$L3&lt;0.3),0.9,0)</f>
        <v>0.9</v>
      </c>
      <c r="O3" s="39">
        <f t="shared" ref="O3:O20" si="5">IF($L3&gt;=0.3,0.95,0)</f>
        <v>0</v>
      </c>
      <c r="P3" s="15">
        <f t="shared" ref="P3:P20" si="6">MAX(M3:O3)</f>
        <v>0.9</v>
      </c>
      <c r="Q3" s="37">
        <f t="shared" ref="Q3:Q20" si="7">IF(J3&gt;0, K3*P3,0)</f>
        <v>334274.57529704436</v>
      </c>
      <c r="R3">
        <f t="shared" ref="R3:R20" si="8">IF(J3&lt;Q3,Q3,0)</f>
        <v>0</v>
      </c>
      <c r="S3" s="19">
        <f t="shared" ref="S3:S20" si="9">IF($R3=0,J3,0)</f>
        <v>364242.49438279646</v>
      </c>
      <c r="T3" s="37">
        <f t="shared" ref="T3:T20" si="10">((S3/SUM($S$2:$S$20)))*(SUM($J$2:$J$20)-SUM($R$2:$R$20))</f>
        <v>364242.49438279646</v>
      </c>
      <c r="U3" s="37">
        <f t="shared" ref="U3:U20" si="11">$R3+T3</f>
        <v>364242.49438279646</v>
      </c>
      <c r="V3">
        <f t="shared" ref="V3:V20" si="12">IF(U3&lt;Q3,Q3,0)</f>
        <v>0</v>
      </c>
      <c r="W3" s="19">
        <f t="shared" ref="W3:W20" si="13">IF($R3+V3=0,U3,0)</f>
        <v>364242.49438279646</v>
      </c>
      <c r="X3" s="37">
        <f t="shared" ref="X3:X20" si="14">((W3/SUM($W$2:$W$20)))*(SUM($J$2:$J$20)-SUM($R$2:$R$20)-SUM($V$2:$V$20))</f>
        <v>364242.49438279646</v>
      </c>
      <c r="Y3" s="37">
        <f t="shared" ref="Y3:Y20" si="15">$R3+$V3+X3</f>
        <v>364242.49438279646</v>
      </c>
      <c r="Z3">
        <f t="shared" ref="Z3:Z20" si="16">IF(Y3&lt;Q3,Q3,0)</f>
        <v>0</v>
      </c>
      <c r="AA3" s="19">
        <f t="shared" ref="AA3:AA20" si="17">IF($R3+$V3+Z3=0,Y3,0)</f>
        <v>364242.49438279646</v>
      </c>
      <c r="AB3" s="37">
        <f t="shared" ref="AB3:AB20" si="18">((AA3/SUM($AA$2:$AA$20)))*(SUM($J$2:$J$20)-SUM($R$2:$R$20)-SUM($V$2:$V$20)-SUM($Z$2:$Z$20))</f>
        <v>364242.49438279646</v>
      </c>
      <c r="AC3" s="37">
        <f t="shared" ref="AC3:AC20" si="19">$R3+$V3+$Z3+AB3</f>
        <v>364242.49438279646</v>
      </c>
    </row>
    <row r="4" spans="1:29" x14ac:dyDescent="0.25">
      <c r="A4" s="30">
        <v>3200060</v>
      </c>
      <c r="B4" t="s">
        <v>43</v>
      </c>
      <c r="C4" s="16">
        <f>Allocation!K11</f>
        <v>36296995.098469958</v>
      </c>
      <c r="D4">
        <f>'Formula Count Adjustments'!D4</f>
        <v>77378</v>
      </c>
      <c r="E4">
        <f>'Formula Count Adjustments'!P4</f>
        <v>1346</v>
      </c>
      <c r="F4">
        <f t="shared" si="0"/>
        <v>78724</v>
      </c>
      <c r="G4" s="37">
        <f t="shared" si="1"/>
        <v>461.06644858581825</v>
      </c>
      <c r="H4">
        <f>'Formula Count Adjustments'!N4</f>
        <v>1345</v>
      </c>
      <c r="I4" s="37">
        <f>IF('Formula Eligibility'!$H$20=1,G4*H4,0)</f>
        <v>620134.3733479256</v>
      </c>
      <c r="J4" s="37">
        <f t="shared" si="2"/>
        <v>35676860.725122035</v>
      </c>
      <c r="K4" s="37">
        <v>34516658.910137229</v>
      </c>
      <c r="L4" s="15">
        <f>'Formula Eligibility'!G4</f>
        <v>0.23242730169982309</v>
      </c>
      <c r="M4" s="39">
        <f t="shared" si="3"/>
        <v>0</v>
      </c>
      <c r="N4" s="39">
        <f t="shared" si="4"/>
        <v>0.9</v>
      </c>
      <c r="O4" s="39">
        <f t="shared" si="5"/>
        <v>0</v>
      </c>
      <c r="P4" s="15">
        <f t="shared" si="6"/>
        <v>0.9</v>
      </c>
      <c r="Q4" s="37">
        <f t="shared" si="7"/>
        <v>31064993.019123506</v>
      </c>
      <c r="R4">
        <f t="shared" si="8"/>
        <v>0</v>
      </c>
      <c r="S4" s="19">
        <f t="shared" si="9"/>
        <v>35676860.725122035</v>
      </c>
      <c r="T4" s="37">
        <f t="shared" si="10"/>
        <v>35676860.725122035</v>
      </c>
      <c r="U4" s="37">
        <f t="shared" si="11"/>
        <v>35676860.725122035</v>
      </c>
      <c r="V4">
        <f t="shared" si="12"/>
        <v>0</v>
      </c>
      <c r="W4" s="19">
        <f t="shared" si="13"/>
        <v>35676860.725122035</v>
      </c>
      <c r="X4" s="37">
        <f t="shared" si="14"/>
        <v>35676860.725122035</v>
      </c>
      <c r="Y4" s="37">
        <f t="shared" si="15"/>
        <v>35676860.725122035</v>
      </c>
      <c r="Z4">
        <f t="shared" si="16"/>
        <v>0</v>
      </c>
      <c r="AA4" s="19">
        <f t="shared" si="17"/>
        <v>35676860.725122035</v>
      </c>
      <c r="AB4" s="37">
        <f t="shared" si="18"/>
        <v>35676860.725122035</v>
      </c>
      <c r="AC4" s="37">
        <f t="shared" si="19"/>
        <v>35676860.725122035</v>
      </c>
    </row>
    <row r="5" spans="1:29" x14ac:dyDescent="0.25">
      <c r="A5" s="30">
        <v>3200090</v>
      </c>
      <c r="B5" t="s">
        <v>44</v>
      </c>
      <c r="C5" s="16">
        <f>Allocation!K12</f>
        <v>448156.58802541532</v>
      </c>
      <c r="D5">
        <f>'Formula Count Adjustments'!D5</f>
        <v>948</v>
      </c>
      <c r="E5">
        <f>'Formula Count Adjustments'!P5</f>
        <v>24</v>
      </c>
      <c r="F5">
        <f t="shared" si="0"/>
        <v>972</v>
      </c>
      <c r="G5" s="37">
        <f t="shared" si="1"/>
        <v>461.06644858581825</v>
      </c>
      <c r="H5">
        <f>'Formula Count Adjustments'!N5</f>
        <v>26</v>
      </c>
      <c r="I5" s="37">
        <f>IF('Formula Eligibility'!$H$20=1,G5*H5,0)</f>
        <v>11987.727663231275</v>
      </c>
      <c r="J5" s="37">
        <f t="shared" si="2"/>
        <v>436168.86036218406</v>
      </c>
      <c r="K5" s="37">
        <v>440551.99733735638</v>
      </c>
      <c r="L5" s="15">
        <f>'Formula Eligibility'!G5</f>
        <v>0.14478114478114479</v>
      </c>
      <c r="M5" s="39">
        <f t="shared" si="3"/>
        <v>0.85</v>
      </c>
      <c r="N5" s="39">
        <f t="shared" si="4"/>
        <v>0</v>
      </c>
      <c r="O5" s="39">
        <f t="shared" si="5"/>
        <v>0</v>
      </c>
      <c r="P5" s="15">
        <f t="shared" si="6"/>
        <v>0.85</v>
      </c>
      <c r="Q5" s="37">
        <f t="shared" si="7"/>
        <v>374469.19773675292</v>
      </c>
      <c r="R5">
        <f t="shared" si="8"/>
        <v>0</v>
      </c>
      <c r="S5" s="19">
        <f t="shared" si="9"/>
        <v>436168.86036218406</v>
      </c>
      <c r="T5" s="37">
        <f t="shared" si="10"/>
        <v>436168.86036218406</v>
      </c>
      <c r="U5" s="37">
        <f t="shared" si="11"/>
        <v>436168.86036218406</v>
      </c>
      <c r="V5">
        <f t="shared" si="12"/>
        <v>0</v>
      </c>
      <c r="W5" s="19">
        <f t="shared" si="13"/>
        <v>436168.86036218406</v>
      </c>
      <c r="X5" s="37">
        <f t="shared" si="14"/>
        <v>436168.86036218406</v>
      </c>
      <c r="Y5" s="37">
        <f t="shared" si="15"/>
        <v>436168.86036218406</v>
      </c>
      <c r="Z5">
        <f t="shared" si="16"/>
        <v>0</v>
      </c>
      <c r="AA5" s="19">
        <f t="shared" si="17"/>
        <v>436168.86036218406</v>
      </c>
      <c r="AB5" s="37">
        <f t="shared" si="18"/>
        <v>436168.86036218406</v>
      </c>
      <c r="AC5" s="37">
        <f t="shared" si="19"/>
        <v>436168.86036218406</v>
      </c>
    </row>
    <row r="6" spans="1:29" x14ac:dyDescent="0.25">
      <c r="A6" s="30">
        <v>3200120</v>
      </c>
      <c r="B6" t="s">
        <v>45</v>
      </c>
      <c r="C6" s="16">
        <f>Allocation!K13</f>
        <v>544519.47577985132</v>
      </c>
      <c r="D6">
        <f>'Formula Count Adjustments'!D6</f>
        <v>1172</v>
      </c>
      <c r="E6">
        <f>'Formula Count Adjustments'!P6</f>
        <v>9</v>
      </c>
      <c r="F6">
        <f t="shared" si="0"/>
        <v>1181</v>
      </c>
      <c r="G6" s="37">
        <f t="shared" si="1"/>
        <v>461.06644858581819</v>
      </c>
      <c r="H6">
        <f>'Formula Count Adjustments'!N6</f>
        <v>14</v>
      </c>
      <c r="I6" s="37">
        <f>IF('Formula Eligibility'!$H$20=1,G6*H6,0)</f>
        <v>6454.9302802014545</v>
      </c>
      <c r="J6" s="37">
        <f t="shared" si="2"/>
        <v>538064.54549964983</v>
      </c>
      <c r="K6" s="37">
        <v>533682.03725877567</v>
      </c>
      <c r="L6" s="15">
        <f>'Formula Eligibility'!G6</f>
        <v>0.11022952677812412</v>
      </c>
      <c r="M6" s="39">
        <f t="shared" si="3"/>
        <v>0.85</v>
      </c>
      <c r="N6" s="39">
        <f t="shared" si="4"/>
        <v>0</v>
      </c>
      <c r="O6" s="39">
        <f t="shared" si="5"/>
        <v>0</v>
      </c>
      <c r="P6" s="15">
        <f t="shared" si="6"/>
        <v>0.85</v>
      </c>
      <c r="Q6" s="37">
        <f t="shared" si="7"/>
        <v>453629.73166995932</v>
      </c>
      <c r="R6">
        <f t="shared" si="8"/>
        <v>0</v>
      </c>
      <c r="S6" s="19">
        <f t="shared" si="9"/>
        <v>538064.54549964983</v>
      </c>
      <c r="T6" s="37">
        <f t="shared" si="10"/>
        <v>538064.54549964983</v>
      </c>
      <c r="U6" s="37">
        <f t="shared" si="11"/>
        <v>538064.54549964983</v>
      </c>
      <c r="V6">
        <f t="shared" si="12"/>
        <v>0</v>
      </c>
      <c r="W6" s="19">
        <f t="shared" si="13"/>
        <v>538064.54549964983</v>
      </c>
      <c r="X6" s="37">
        <f t="shared" si="14"/>
        <v>538064.54549964983</v>
      </c>
      <c r="Y6" s="37">
        <f t="shared" si="15"/>
        <v>538064.54549964983</v>
      </c>
      <c r="Z6">
        <f t="shared" si="16"/>
        <v>0</v>
      </c>
      <c r="AA6" s="19">
        <f t="shared" si="17"/>
        <v>538064.54549964983</v>
      </c>
      <c r="AB6" s="37">
        <f t="shared" si="18"/>
        <v>538064.54549964983</v>
      </c>
      <c r="AC6" s="37">
        <f t="shared" si="19"/>
        <v>538064.54549964983</v>
      </c>
    </row>
    <row r="7" spans="1:29" x14ac:dyDescent="0.25">
      <c r="A7" s="30">
        <v>3200150</v>
      </c>
      <c r="B7" t="s">
        <v>46</v>
      </c>
      <c r="C7" s="16">
        <f>Allocation!K14</f>
        <v>9682.3954203021804</v>
      </c>
      <c r="D7">
        <f>'Formula Count Adjustments'!D7</f>
        <v>21</v>
      </c>
      <c r="E7">
        <f>'Formula Count Adjustments'!P7</f>
        <v>0</v>
      </c>
      <c r="F7">
        <f t="shared" si="0"/>
        <v>21</v>
      </c>
      <c r="G7" s="37">
        <f t="shared" si="1"/>
        <v>461.06644858581814</v>
      </c>
      <c r="H7">
        <f>'Formula Count Adjustments'!N7</f>
        <v>2</v>
      </c>
      <c r="I7" s="37">
        <f>IF('Formula Eligibility'!$H$20=1,G7*H7,0)</f>
        <v>922.13289717163627</v>
      </c>
      <c r="J7" s="37">
        <f t="shared" si="2"/>
        <v>8760.2625231305447</v>
      </c>
      <c r="K7" s="37">
        <v>8632.7256143538034</v>
      </c>
      <c r="L7" s="15">
        <f>'Formula Eligibility'!G7</f>
        <v>0.18269230769230768</v>
      </c>
      <c r="M7" s="39">
        <f t="shared" si="3"/>
        <v>0</v>
      </c>
      <c r="N7" s="39">
        <f t="shared" si="4"/>
        <v>0.9</v>
      </c>
      <c r="O7" s="39">
        <f t="shared" si="5"/>
        <v>0</v>
      </c>
      <c r="P7" s="15">
        <f t="shared" si="6"/>
        <v>0.9</v>
      </c>
      <c r="Q7" s="37">
        <f t="shared" si="7"/>
        <v>7769.4530529184231</v>
      </c>
      <c r="R7">
        <f t="shared" si="8"/>
        <v>0</v>
      </c>
      <c r="S7" s="19">
        <f t="shared" si="9"/>
        <v>8760.2625231305447</v>
      </c>
      <c r="T7" s="37">
        <f t="shared" si="10"/>
        <v>8760.2625231305447</v>
      </c>
      <c r="U7" s="37">
        <f t="shared" si="11"/>
        <v>8760.2625231305447</v>
      </c>
      <c r="V7">
        <f t="shared" si="12"/>
        <v>0</v>
      </c>
      <c r="W7" s="19">
        <f t="shared" si="13"/>
        <v>8760.2625231305447</v>
      </c>
      <c r="X7" s="37">
        <f t="shared" si="14"/>
        <v>8760.2625231305447</v>
      </c>
      <c r="Y7" s="37">
        <f t="shared" si="15"/>
        <v>8760.2625231305447</v>
      </c>
      <c r="Z7">
        <f t="shared" si="16"/>
        <v>0</v>
      </c>
      <c r="AA7" s="19">
        <f t="shared" si="17"/>
        <v>8760.2625231305447</v>
      </c>
      <c r="AB7" s="37">
        <f t="shared" si="18"/>
        <v>8760.2625231305447</v>
      </c>
      <c r="AC7" s="37">
        <f t="shared" si="19"/>
        <v>8760.2625231305447</v>
      </c>
    </row>
    <row r="8" spans="1:29" x14ac:dyDescent="0.25">
      <c r="A8" s="30">
        <v>3200180</v>
      </c>
      <c r="B8" t="s">
        <v>47</v>
      </c>
      <c r="C8" s="16">
        <f>Allocation!K15</f>
        <v>14293.059906160366</v>
      </c>
      <c r="D8">
        <f>'Formula Count Adjustments'!D8</f>
        <v>31</v>
      </c>
      <c r="E8">
        <f>'Formula Count Adjustments'!P8</f>
        <v>0</v>
      </c>
      <c r="F8">
        <f t="shared" si="0"/>
        <v>31</v>
      </c>
      <c r="G8" s="37">
        <f t="shared" si="1"/>
        <v>461.06644858581825</v>
      </c>
      <c r="H8">
        <f>'Formula Count Adjustments'!N8</f>
        <v>2</v>
      </c>
      <c r="I8" s="37">
        <f>IF('Formula Eligibility'!$H$20=1,G8*H8,0)</f>
        <v>922.1328971716365</v>
      </c>
      <c r="J8" s="37">
        <f t="shared" si="2"/>
        <v>13370.92700898873</v>
      </c>
      <c r="K8" s="37">
        <v>14259</v>
      </c>
      <c r="L8" s="15">
        <f>'Formula Eligibility'!G8</f>
        <v>8.9506172839506168E-2</v>
      </c>
      <c r="M8" s="39">
        <f t="shared" si="3"/>
        <v>0.85</v>
      </c>
      <c r="N8" s="39">
        <f t="shared" si="4"/>
        <v>0</v>
      </c>
      <c r="O8" s="39">
        <f t="shared" si="5"/>
        <v>0</v>
      </c>
      <c r="P8" s="15">
        <f t="shared" si="6"/>
        <v>0.85</v>
      </c>
      <c r="Q8" s="37">
        <f t="shared" si="7"/>
        <v>12120.15</v>
      </c>
      <c r="R8">
        <f t="shared" si="8"/>
        <v>0</v>
      </c>
      <c r="S8" s="19">
        <f t="shared" si="9"/>
        <v>13370.92700898873</v>
      </c>
      <c r="T8" s="37">
        <f t="shared" si="10"/>
        <v>13370.92700898873</v>
      </c>
      <c r="U8" s="37">
        <f t="shared" si="11"/>
        <v>13370.92700898873</v>
      </c>
      <c r="V8">
        <f t="shared" si="12"/>
        <v>0</v>
      </c>
      <c r="W8" s="19">
        <f t="shared" si="13"/>
        <v>13370.92700898873</v>
      </c>
      <c r="X8" s="37">
        <f t="shared" si="14"/>
        <v>13370.92700898873</v>
      </c>
      <c r="Y8" s="37">
        <f t="shared" si="15"/>
        <v>13370.92700898873</v>
      </c>
      <c r="Z8">
        <f t="shared" si="16"/>
        <v>0</v>
      </c>
      <c r="AA8" s="19">
        <f t="shared" si="17"/>
        <v>13370.92700898873</v>
      </c>
      <c r="AB8" s="37">
        <f t="shared" si="18"/>
        <v>13370.92700898873</v>
      </c>
      <c r="AC8" s="37">
        <f t="shared" si="19"/>
        <v>13370.92700898873</v>
      </c>
    </row>
    <row r="9" spans="1:29" x14ac:dyDescent="0.25">
      <c r="A9" s="30">
        <v>3200210</v>
      </c>
      <c r="B9" t="s">
        <v>48</v>
      </c>
      <c r="C9" s="16">
        <f>Allocation!K16</f>
        <v>212090.5663494764</v>
      </c>
      <c r="D9">
        <f>'Formula Count Adjustments'!D9</f>
        <v>453</v>
      </c>
      <c r="E9">
        <f>'Formula Count Adjustments'!P9</f>
        <v>7</v>
      </c>
      <c r="F9">
        <f t="shared" si="0"/>
        <v>460</v>
      </c>
      <c r="G9" s="37">
        <f t="shared" si="1"/>
        <v>461.06644858581825</v>
      </c>
      <c r="H9">
        <f>'Formula Count Adjustments'!N9</f>
        <v>6</v>
      </c>
      <c r="I9" s="37">
        <f>IF('Formula Eligibility'!$H$20=1,G9*H9,0)</f>
        <v>2766.3986915149094</v>
      </c>
      <c r="J9" s="37">
        <f t="shared" si="2"/>
        <v>209324.16765796149</v>
      </c>
      <c r="K9" s="37">
        <v>220914.9783591186</v>
      </c>
      <c r="L9" s="15">
        <f>'Formula Eligibility'!G9</f>
        <v>0.13459828046249631</v>
      </c>
      <c r="M9" s="39">
        <f t="shared" si="3"/>
        <v>0.85</v>
      </c>
      <c r="N9" s="39">
        <f t="shared" si="4"/>
        <v>0</v>
      </c>
      <c r="O9" s="39">
        <f t="shared" si="5"/>
        <v>0</v>
      </c>
      <c r="P9" s="15">
        <f t="shared" si="6"/>
        <v>0.85</v>
      </c>
      <c r="Q9" s="37">
        <f t="shared" si="7"/>
        <v>187777.7316052508</v>
      </c>
      <c r="R9">
        <f t="shared" si="8"/>
        <v>0</v>
      </c>
      <c r="S9" s="19">
        <f t="shared" si="9"/>
        <v>209324.16765796149</v>
      </c>
      <c r="T9" s="37">
        <f t="shared" si="10"/>
        <v>209324.16765796149</v>
      </c>
      <c r="U9" s="37">
        <f t="shared" si="11"/>
        <v>209324.16765796149</v>
      </c>
      <c r="V9">
        <f t="shared" si="12"/>
        <v>0</v>
      </c>
      <c r="W9" s="19">
        <f t="shared" si="13"/>
        <v>209324.16765796149</v>
      </c>
      <c r="X9" s="37">
        <f t="shared" si="14"/>
        <v>209324.16765796149</v>
      </c>
      <c r="Y9" s="37">
        <f t="shared" si="15"/>
        <v>209324.16765796149</v>
      </c>
      <c r="Z9">
        <f t="shared" si="16"/>
        <v>0</v>
      </c>
      <c r="AA9" s="19">
        <f t="shared" si="17"/>
        <v>209324.16765796149</v>
      </c>
      <c r="AB9" s="37">
        <f t="shared" si="18"/>
        <v>209324.16765796149</v>
      </c>
      <c r="AC9" s="37">
        <f t="shared" si="19"/>
        <v>209324.16765796149</v>
      </c>
    </row>
    <row r="10" spans="1:29" x14ac:dyDescent="0.25">
      <c r="A10" s="30">
        <v>3200240</v>
      </c>
      <c r="B10" t="s">
        <v>49</v>
      </c>
      <c r="C10" s="16">
        <f>Allocation!K17</f>
        <v>68237.8343907011</v>
      </c>
      <c r="D10">
        <f>'Formula Count Adjustments'!D10</f>
        <v>148</v>
      </c>
      <c r="E10">
        <f>'Formula Count Adjustments'!P10</f>
        <v>0</v>
      </c>
      <c r="F10">
        <f t="shared" si="0"/>
        <v>148</v>
      </c>
      <c r="G10" s="37">
        <f t="shared" si="1"/>
        <v>461.06644858581825</v>
      </c>
      <c r="H10">
        <f>'Formula Count Adjustments'!N10</f>
        <v>3</v>
      </c>
      <c r="I10" s="37">
        <f>IF('Formula Eligibility'!$H$20=1,G10*H10,0)</f>
        <v>1383.1993457574547</v>
      </c>
      <c r="J10" s="37">
        <f t="shared" si="2"/>
        <v>66854.635044943643</v>
      </c>
      <c r="K10" s="37">
        <v>68512.822363888656</v>
      </c>
      <c r="L10" s="15">
        <f>'Formula Eligibility'!G10</f>
        <v>0.1277533039647577</v>
      </c>
      <c r="M10" s="39">
        <f t="shared" si="3"/>
        <v>0.85</v>
      </c>
      <c r="N10" s="39">
        <f t="shared" si="4"/>
        <v>0</v>
      </c>
      <c r="O10" s="39">
        <f t="shared" si="5"/>
        <v>0</v>
      </c>
      <c r="P10" s="15">
        <f t="shared" si="6"/>
        <v>0.85</v>
      </c>
      <c r="Q10" s="37">
        <f t="shared" si="7"/>
        <v>58235.899009305358</v>
      </c>
      <c r="R10">
        <f t="shared" si="8"/>
        <v>0</v>
      </c>
      <c r="S10" s="19">
        <f t="shared" si="9"/>
        <v>66854.635044943643</v>
      </c>
      <c r="T10" s="37">
        <f t="shared" si="10"/>
        <v>66854.635044943643</v>
      </c>
      <c r="U10" s="37">
        <f t="shared" si="11"/>
        <v>66854.635044943643</v>
      </c>
      <c r="V10">
        <f t="shared" si="12"/>
        <v>0</v>
      </c>
      <c r="W10" s="19">
        <f t="shared" si="13"/>
        <v>66854.635044943643</v>
      </c>
      <c r="X10" s="37">
        <f t="shared" si="14"/>
        <v>66854.635044943643</v>
      </c>
      <c r="Y10" s="37">
        <f t="shared" si="15"/>
        <v>66854.635044943643</v>
      </c>
      <c r="Z10">
        <f t="shared" si="16"/>
        <v>0</v>
      </c>
      <c r="AA10" s="19">
        <f t="shared" si="17"/>
        <v>66854.635044943643</v>
      </c>
      <c r="AB10" s="37">
        <f t="shared" si="18"/>
        <v>66854.635044943643</v>
      </c>
      <c r="AC10" s="37">
        <f t="shared" si="19"/>
        <v>66854.635044943643</v>
      </c>
    </row>
    <row r="11" spans="1:29" x14ac:dyDescent="0.25">
      <c r="A11" s="30">
        <v>3200270</v>
      </c>
      <c r="B11" t="s">
        <v>50</v>
      </c>
      <c r="C11" s="16">
        <f>Allocation!K18</f>
        <v>76537.030465245844</v>
      </c>
      <c r="D11">
        <f>'Formula Count Adjustments'!D11</f>
        <v>166</v>
      </c>
      <c r="E11">
        <f>'Formula Count Adjustments'!P11</f>
        <v>0</v>
      </c>
      <c r="F11">
        <f t="shared" si="0"/>
        <v>166</v>
      </c>
      <c r="G11" s="37">
        <f t="shared" si="1"/>
        <v>461.06644858581831</v>
      </c>
      <c r="H11">
        <f>'Formula Count Adjustments'!N11</f>
        <v>2</v>
      </c>
      <c r="I11" s="37">
        <f>IF('Formula Eligibility'!$H$20=1,G11*H11,0)</f>
        <v>922.13289717163661</v>
      </c>
      <c r="J11" s="37">
        <f t="shared" si="2"/>
        <v>75614.897568074201</v>
      </c>
      <c r="K11" s="37">
        <v>71681.721642457778</v>
      </c>
      <c r="L11" s="15">
        <f>'Formula Eligibility'!G11</f>
        <v>0.16942148760330578</v>
      </c>
      <c r="M11" s="39">
        <f t="shared" si="3"/>
        <v>0</v>
      </c>
      <c r="N11" s="39">
        <f t="shared" si="4"/>
        <v>0.9</v>
      </c>
      <c r="O11" s="39">
        <f t="shared" si="5"/>
        <v>0</v>
      </c>
      <c r="P11" s="15">
        <f t="shared" si="6"/>
        <v>0.9</v>
      </c>
      <c r="Q11" s="37">
        <f t="shared" si="7"/>
        <v>64513.549478212</v>
      </c>
      <c r="R11">
        <f t="shared" si="8"/>
        <v>0</v>
      </c>
      <c r="S11" s="19">
        <f t="shared" si="9"/>
        <v>75614.897568074201</v>
      </c>
      <c r="T11" s="37">
        <f t="shared" si="10"/>
        <v>75614.897568074201</v>
      </c>
      <c r="U11" s="37">
        <f t="shared" si="11"/>
        <v>75614.897568074201</v>
      </c>
      <c r="V11">
        <f t="shared" si="12"/>
        <v>0</v>
      </c>
      <c r="W11" s="19">
        <f t="shared" si="13"/>
        <v>75614.897568074201</v>
      </c>
      <c r="X11" s="37">
        <f t="shared" si="14"/>
        <v>75614.897568074201</v>
      </c>
      <c r="Y11" s="37">
        <f t="shared" si="15"/>
        <v>75614.897568074201</v>
      </c>
      <c r="Z11">
        <f t="shared" si="16"/>
        <v>0</v>
      </c>
      <c r="AA11" s="19">
        <f t="shared" si="17"/>
        <v>75614.897568074201</v>
      </c>
      <c r="AB11" s="37">
        <f t="shared" si="18"/>
        <v>75614.897568074201</v>
      </c>
      <c r="AC11" s="37">
        <f t="shared" si="19"/>
        <v>75614.897568074201</v>
      </c>
    </row>
    <row r="12" spans="1:29" x14ac:dyDescent="0.25">
      <c r="A12" s="30">
        <v>3200300</v>
      </c>
      <c r="B12" t="s">
        <v>51</v>
      </c>
      <c r="C12" s="16">
        <f>Allocation!K19</f>
        <v>909684.10305981955</v>
      </c>
      <c r="D12">
        <f>'Formula Count Adjustments'!D12</f>
        <v>1944</v>
      </c>
      <c r="E12">
        <f>'Formula Count Adjustments'!P12</f>
        <v>29</v>
      </c>
      <c r="F12">
        <f t="shared" si="0"/>
        <v>1973</v>
      </c>
      <c r="G12" s="37">
        <f t="shared" si="1"/>
        <v>461.06644858581831</v>
      </c>
      <c r="H12">
        <f>'Formula Count Adjustments'!N12</f>
        <v>52</v>
      </c>
      <c r="I12" s="37">
        <f>IF('Formula Eligibility'!$H$20=1,G12*H12,0)</f>
        <v>23975.45532646255</v>
      </c>
      <c r="J12" s="37">
        <f t="shared" si="2"/>
        <v>885708.64773335704</v>
      </c>
      <c r="K12" s="37">
        <v>840288.29197564186</v>
      </c>
      <c r="L12" s="15">
        <f>'Formula Eligibility'!G12</f>
        <v>0.22256980651141234</v>
      </c>
      <c r="M12" s="39">
        <f t="shared" si="3"/>
        <v>0</v>
      </c>
      <c r="N12" s="39">
        <f t="shared" si="4"/>
        <v>0.9</v>
      </c>
      <c r="O12" s="39">
        <f t="shared" si="5"/>
        <v>0</v>
      </c>
      <c r="P12" s="15">
        <f t="shared" si="6"/>
        <v>0.9</v>
      </c>
      <c r="Q12" s="37">
        <f t="shared" si="7"/>
        <v>756259.46277807769</v>
      </c>
      <c r="R12">
        <f t="shared" si="8"/>
        <v>0</v>
      </c>
      <c r="S12" s="19">
        <f t="shared" si="9"/>
        <v>885708.64773335704</v>
      </c>
      <c r="T12" s="37">
        <f t="shared" si="10"/>
        <v>885708.64773335692</v>
      </c>
      <c r="U12" s="37">
        <f t="shared" si="11"/>
        <v>885708.64773335692</v>
      </c>
      <c r="V12">
        <f t="shared" si="12"/>
        <v>0</v>
      </c>
      <c r="W12" s="19">
        <f t="shared" si="13"/>
        <v>885708.64773335692</v>
      </c>
      <c r="X12" s="37">
        <f t="shared" si="14"/>
        <v>885708.64773335692</v>
      </c>
      <c r="Y12" s="37">
        <f t="shared" si="15"/>
        <v>885708.64773335692</v>
      </c>
      <c r="Z12">
        <f t="shared" si="16"/>
        <v>0</v>
      </c>
      <c r="AA12" s="19">
        <f t="shared" si="17"/>
        <v>885708.64773335692</v>
      </c>
      <c r="AB12" s="37">
        <f t="shared" si="18"/>
        <v>885708.64773335692</v>
      </c>
      <c r="AC12" s="37">
        <f t="shared" si="19"/>
        <v>885708.64773335692</v>
      </c>
    </row>
    <row r="13" spans="1:29" x14ac:dyDescent="0.25">
      <c r="A13" s="30">
        <v>3200330</v>
      </c>
      <c r="B13" t="s">
        <v>52</v>
      </c>
      <c r="C13" s="16">
        <f>Allocation!K20</f>
        <v>79303.429156760729</v>
      </c>
      <c r="D13">
        <f>'Formula Count Adjustments'!D13</f>
        <v>172</v>
      </c>
      <c r="E13">
        <f>'Formula Count Adjustments'!P13</f>
        <v>0</v>
      </c>
      <c r="F13">
        <f t="shared" si="0"/>
        <v>172</v>
      </c>
      <c r="G13" s="37">
        <f t="shared" si="1"/>
        <v>461.06644858581819</v>
      </c>
      <c r="H13">
        <f>'Formula Count Adjustments'!N13</f>
        <v>7</v>
      </c>
      <c r="I13" s="37">
        <f>IF('Formula Eligibility'!$H$20=1,G13*H13,0)</f>
        <v>3227.4651401007272</v>
      </c>
      <c r="J13" s="37">
        <f t="shared" si="2"/>
        <v>76075.96401666</v>
      </c>
      <c r="K13" s="37">
        <v>59156.119760679059</v>
      </c>
      <c r="L13" s="15">
        <f>'Formula Eligibility'!G13</f>
        <v>0.29729729729729731</v>
      </c>
      <c r="M13" s="39">
        <f t="shared" si="3"/>
        <v>0</v>
      </c>
      <c r="N13" s="39">
        <f t="shared" si="4"/>
        <v>0.9</v>
      </c>
      <c r="O13" s="39">
        <f t="shared" si="5"/>
        <v>0</v>
      </c>
      <c r="P13" s="15">
        <f t="shared" si="6"/>
        <v>0.9</v>
      </c>
      <c r="Q13" s="37">
        <f t="shared" si="7"/>
        <v>53240.507784611153</v>
      </c>
      <c r="R13">
        <f t="shared" si="8"/>
        <v>0</v>
      </c>
      <c r="S13" s="19">
        <f t="shared" si="9"/>
        <v>76075.96401666</v>
      </c>
      <c r="T13" s="37">
        <f t="shared" si="10"/>
        <v>76075.96401666</v>
      </c>
      <c r="U13" s="37">
        <f t="shared" si="11"/>
        <v>76075.96401666</v>
      </c>
      <c r="V13">
        <f t="shared" si="12"/>
        <v>0</v>
      </c>
      <c r="W13" s="19">
        <f t="shared" si="13"/>
        <v>76075.96401666</v>
      </c>
      <c r="X13" s="37">
        <f t="shared" si="14"/>
        <v>76075.96401666</v>
      </c>
      <c r="Y13" s="37">
        <f t="shared" si="15"/>
        <v>76075.96401666</v>
      </c>
      <c r="Z13">
        <f t="shared" si="16"/>
        <v>0</v>
      </c>
      <c r="AA13" s="19">
        <f t="shared" si="17"/>
        <v>76075.96401666</v>
      </c>
      <c r="AB13" s="37">
        <f t="shared" si="18"/>
        <v>76075.96401666</v>
      </c>
      <c r="AC13" s="37">
        <f t="shared" si="19"/>
        <v>76075.96401666</v>
      </c>
    </row>
    <row r="14" spans="1:29" x14ac:dyDescent="0.25">
      <c r="A14" s="30">
        <v>3200360</v>
      </c>
      <c r="B14" t="s">
        <v>53</v>
      </c>
      <c r="C14" s="16">
        <f>Allocation!K21</f>
        <v>829458.54100588686</v>
      </c>
      <c r="D14">
        <f>'Formula Count Adjustments'!D14</f>
        <v>1750</v>
      </c>
      <c r="E14">
        <f>'Formula Count Adjustments'!P14</f>
        <v>49</v>
      </c>
      <c r="F14">
        <f t="shared" si="0"/>
        <v>1799</v>
      </c>
      <c r="G14" s="37">
        <f t="shared" si="1"/>
        <v>461.06644858581814</v>
      </c>
      <c r="H14">
        <f>'Formula Count Adjustments'!N14</f>
        <v>50</v>
      </c>
      <c r="I14" s="37">
        <f>IF('Formula Eligibility'!$H$20=1,G14*H14,0)</f>
        <v>23053.322429290907</v>
      </c>
      <c r="J14" s="37">
        <f t="shared" si="2"/>
        <v>806405.218576596</v>
      </c>
      <c r="K14" s="37">
        <v>746319.27872045187</v>
      </c>
      <c r="L14" s="15">
        <f>'Formula Eligibility'!G14</f>
        <v>0.30385684503127169</v>
      </c>
      <c r="M14" s="39">
        <f t="shared" si="3"/>
        <v>0</v>
      </c>
      <c r="N14" s="39">
        <f t="shared" si="4"/>
        <v>0</v>
      </c>
      <c r="O14" s="39">
        <f t="shared" si="5"/>
        <v>0.95</v>
      </c>
      <c r="P14" s="15">
        <f t="shared" si="6"/>
        <v>0.95</v>
      </c>
      <c r="Q14" s="37">
        <f t="shared" si="7"/>
        <v>709003.31478442927</v>
      </c>
      <c r="R14">
        <f t="shared" si="8"/>
        <v>0</v>
      </c>
      <c r="S14" s="19">
        <f t="shared" si="9"/>
        <v>806405.218576596</v>
      </c>
      <c r="T14" s="37">
        <f t="shared" si="10"/>
        <v>806405.218576596</v>
      </c>
      <c r="U14" s="37">
        <f t="shared" si="11"/>
        <v>806405.218576596</v>
      </c>
      <c r="V14">
        <f t="shared" si="12"/>
        <v>0</v>
      </c>
      <c r="W14" s="19">
        <f t="shared" si="13"/>
        <v>806405.218576596</v>
      </c>
      <c r="X14" s="37">
        <f t="shared" si="14"/>
        <v>806405.218576596</v>
      </c>
      <c r="Y14" s="37">
        <f t="shared" si="15"/>
        <v>806405.218576596</v>
      </c>
      <c r="Z14">
        <f t="shared" si="16"/>
        <v>0</v>
      </c>
      <c r="AA14" s="19">
        <f t="shared" si="17"/>
        <v>806405.218576596</v>
      </c>
      <c r="AB14" s="37">
        <f t="shared" si="18"/>
        <v>806405.218576596</v>
      </c>
      <c r="AC14" s="37">
        <f t="shared" si="19"/>
        <v>806405.218576596</v>
      </c>
    </row>
    <row r="15" spans="1:29" x14ac:dyDescent="0.25">
      <c r="A15" s="30">
        <v>3200420</v>
      </c>
      <c r="B15" t="s">
        <v>54</v>
      </c>
      <c r="C15" s="16">
        <f>Allocation!K22</f>
        <v>106045.2831747382</v>
      </c>
      <c r="D15">
        <f>'Formula Count Adjustments'!D15</f>
        <v>226</v>
      </c>
      <c r="E15">
        <f>'Formula Count Adjustments'!P15</f>
        <v>4</v>
      </c>
      <c r="F15">
        <f t="shared" si="0"/>
        <v>230</v>
      </c>
      <c r="G15" s="37">
        <f t="shared" si="1"/>
        <v>461.06644858581825</v>
      </c>
      <c r="H15">
        <f>'Formula Count Adjustments'!N15</f>
        <v>3</v>
      </c>
      <c r="I15" s="37">
        <f>IF('Formula Eligibility'!$H$20=1,G15*H15,0)</f>
        <v>1383.1993457574547</v>
      </c>
      <c r="J15" s="37">
        <f t="shared" si="2"/>
        <v>104662.08382898074</v>
      </c>
      <c r="K15" s="37">
        <v>91305.097926030008</v>
      </c>
      <c r="L15" s="15">
        <f>'Formula Eligibility'!G15</f>
        <v>0.22654690618762474</v>
      </c>
      <c r="M15" s="39">
        <f t="shared" si="3"/>
        <v>0</v>
      </c>
      <c r="N15" s="39">
        <f t="shared" si="4"/>
        <v>0.9</v>
      </c>
      <c r="O15" s="39">
        <f t="shared" si="5"/>
        <v>0</v>
      </c>
      <c r="P15" s="15">
        <f t="shared" si="6"/>
        <v>0.9</v>
      </c>
      <c r="Q15" s="37">
        <f t="shared" si="7"/>
        <v>82174.588133427009</v>
      </c>
      <c r="R15">
        <f t="shared" si="8"/>
        <v>0</v>
      </c>
      <c r="S15" s="19">
        <f t="shared" si="9"/>
        <v>104662.08382898074</v>
      </c>
      <c r="T15" s="37">
        <f t="shared" si="10"/>
        <v>104662.08382898074</v>
      </c>
      <c r="U15" s="37">
        <f t="shared" si="11"/>
        <v>104662.08382898074</v>
      </c>
      <c r="V15">
        <f t="shared" si="12"/>
        <v>0</v>
      </c>
      <c r="W15" s="19">
        <f t="shared" si="13"/>
        <v>104662.08382898074</v>
      </c>
      <c r="X15" s="37">
        <f t="shared" si="14"/>
        <v>104662.08382898074</v>
      </c>
      <c r="Y15" s="37">
        <f t="shared" si="15"/>
        <v>104662.08382898074</v>
      </c>
      <c r="Z15">
        <f t="shared" si="16"/>
        <v>0</v>
      </c>
      <c r="AA15" s="19">
        <f t="shared" si="17"/>
        <v>104662.08382898074</v>
      </c>
      <c r="AB15" s="37">
        <f t="shared" si="18"/>
        <v>104662.08382898074</v>
      </c>
      <c r="AC15" s="37">
        <f t="shared" si="19"/>
        <v>104662.08382898074</v>
      </c>
    </row>
    <row r="16" spans="1:29" x14ac:dyDescent="0.25">
      <c r="A16" s="30">
        <v>3200450</v>
      </c>
      <c r="B16" t="s">
        <v>55</v>
      </c>
      <c r="C16" s="16">
        <f>Allocation!K23</f>
        <v>23514.388877876732</v>
      </c>
      <c r="D16">
        <f>'Formula Count Adjustments'!D16</f>
        <v>51</v>
      </c>
      <c r="E16">
        <f>'Formula Count Adjustments'!P16</f>
        <v>0</v>
      </c>
      <c r="F16">
        <f t="shared" si="0"/>
        <v>51</v>
      </c>
      <c r="G16" s="37">
        <f t="shared" si="1"/>
        <v>461.06644858581831</v>
      </c>
      <c r="H16">
        <f>'Formula Count Adjustments'!N16</f>
        <v>3</v>
      </c>
      <c r="I16" s="37">
        <f>IF('Formula Eligibility'!$H$20=1,G16*H16,0)</f>
        <v>1383.1993457574549</v>
      </c>
      <c r="J16" s="37">
        <f t="shared" si="2"/>
        <v>22131.189532119279</v>
      </c>
      <c r="K16" s="37">
        <v>25250</v>
      </c>
      <c r="L16" s="15">
        <f>'Formula Eligibility'!G16</f>
        <v>0.10666666666666667</v>
      </c>
      <c r="M16" s="39">
        <f t="shared" si="3"/>
        <v>0.85</v>
      </c>
      <c r="N16" s="39">
        <f t="shared" si="4"/>
        <v>0</v>
      </c>
      <c r="O16" s="39">
        <f t="shared" si="5"/>
        <v>0</v>
      </c>
      <c r="P16" s="15">
        <f t="shared" si="6"/>
        <v>0.85</v>
      </c>
      <c r="Q16" s="37">
        <f t="shared" si="7"/>
        <v>21462.5</v>
      </c>
      <c r="R16">
        <f t="shared" si="8"/>
        <v>0</v>
      </c>
      <c r="S16" s="19">
        <f t="shared" si="9"/>
        <v>22131.189532119279</v>
      </c>
      <c r="T16" s="37">
        <f t="shared" si="10"/>
        <v>22131.189532119279</v>
      </c>
      <c r="U16" s="37">
        <f t="shared" si="11"/>
        <v>22131.189532119279</v>
      </c>
      <c r="V16">
        <f t="shared" si="12"/>
        <v>0</v>
      </c>
      <c r="W16" s="19">
        <f t="shared" si="13"/>
        <v>22131.189532119279</v>
      </c>
      <c r="X16" s="37">
        <f t="shared" si="14"/>
        <v>22131.189532119279</v>
      </c>
      <c r="Y16" s="37">
        <f t="shared" si="15"/>
        <v>22131.189532119279</v>
      </c>
      <c r="Z16">
        <f t="shared" si="16"/>
        <v>0</v>
      </c>
      <c r="AA16" s="19">
        <f t="shared" si="17"/>
        <v>22131.189532119279</v>
      </c>
      <c r="AB16" s="37">
        <f t="shared" si="18"/>
        <v>22131.189532119279</v>
      </c>
      <c r="AC16" s="37">
        <f t="shared" si="19"/>
        <v>22131.189532119279</v>
      </c>
    </row>
    <row r="17" spans="1:29" x14ac:dyDescent="0.25">
      <c r="A17" s="30">
        <v>3200480</v>
      </c>
      <c r="B17" t="s">
        <v>56</v>
      </c>
      <c r="C17" s="16">
        <f>Allocation!K24</f>
        <v>6591284.2303052852</v>
      </c>
      <c r="D17">
        <f>'Formula Count Adjustments'!D17</f>
        <v>12408</v>
      </c>
      <c r="E17">
        <f>'Formula Count Adjustments'!P17</f>
        <v>447</v>
      </c>
      <c r="F17">
        <f t="shared" si="0"/>
        <v>12855</v>
      </c>
      <c r="G17" s="37">
        <f t="shared" si="1"/>
        <v>512.74089695101407</v>
      </c>
      <c r="H17">
        <f>'Formula Count Adjustments'!N17</f>
        <v>123</v>
      </c>
      <c r="I17" s="37">
        <f>IF('Formula Eligibility'!$H$20=1,G17*H17,0)</f>
        <v>63067.130324974729</v>
      </c>
      <c r="J17" s="37">
        <f t="shared" si="2"/>
        <v>6528217.0999803105</v>
      </c>
      <c r="K17" s="37">
        <v>7237011.9762165118</v>
      </c>
      <c r="L17" s="15">
        <f>'Formula Eligibility'!G17</f>
        <v>0.18643745149434041</v>
      </c>
      <c r="M17" s="39">
        <f t="shared" si="3"/>
        <v>0</v>
      </c>
      <c r="N17" s="39">
        <f t="shared" si="4"/>
        <v>0.9</v>
      </c>
      <c r="O17" s="39">
        <f t="shared" si="5"/>
        <v>0</v>
      </c>
      <c r="P17" s="15">
        <f t="shared" si="6"/>
        <v>0.9</v>
      </c>
      <c r="Q17" s="37">
        <f t="shared" si="7"/>
        <v>6513310.7785948608</v>
      </c>
      <c r="R17">
        <f t="shared" si="8"/>
        <v>0</v>
      </c>
      <c r="S17" s="19">
        <f t="shared" si="9"/>
        <v>6528217.0999803105</v>
      </c>
      <c r="T17" s="37">
        <f t="shared" si="10"/>
        <v>6528217.0999803105</v>
      </c>
      <c r="U17" s="37">
        <f t="shared" si="11"/>
        <v>6528217.0999803105</v>
      </c>
      <c r="V17">
        <f t="shared" si="12"/>
        <v>0</v>
      </c>
      <c r="W17" s="19">
        <f t="shared" si="13"/>
        <v>6528217.0999803105</v>
      </c>
      <c r="X17" s="37">
        <f t="shared" si="14"/>
        <v>6528217.0999803105</v>
      </c>
      <c r="Y17" s="37">
        <f t="shared" si="15"/>
        <v>6528217.0999803105</v>
      </c>
      <c r="Z17">
        <f t="shared" si="16"/>
        <v>0</v>
      </c>
      <c r="AA17" s="19">
        <f t="shared" si="17"/>
        <v>6528217.0999803105</v>
      </c>
      <c r="AB17" s="37">
        <f t="shared" si="18"/>
        <v>6528217.0999803105</v>
      </c>
      <c r="AC17" s="37">
        <f t="shared" si="19"/>
        <v>6528217.0999803105</v>
      </c>
    </row>
    <row r="18" spans="1:29" x14ac:dyDescent="0.25">
      <c r="A18" s="30">
        <v>3200510</v>
      </c>
      <c r="B18" t="s">
        <v>57</v>
      </c>
      <c r="C18" s="16">
        <f>Allocation!K25</f>
        <v>111578.080557768</v>
      </c>
      <c r="D18">
        <f>'Formula Count Adjustments'!D18</f>
        <v>241</v>
      </c>
      <c r="E18">
        <f>'Formula Count Adjustments'!P18</f>
        <v>1</v>
      </c>
      <c r="F18">
        <f t="shared" si="0"/>
        <v>242</v>
      </c>
      <c r="G18" s="37">
        <f t="shared" si="1"/>
        <v>461.06644858581819</v>
      </c>
      <c r="H18">
        <f>'Formula Count Adjustments'!N18</f>
        <v>27</v>
      </c>
      <c r="I18" s="37">
        <f>IF('Formula Eligibility'!$H$20=1,G18*H18,0)</f>
        <v>12448.794111817091</v>
      </c>
      <c r="J18" s="37">
        <f t="shared" si="2"/>
        <v>99129.286445950915</v>
      </c>
      <c r="K18" s="37">
        <v>100140.8170883641</v>
      </c>
      <c r="L18" s="15">
        <f>'Formula Eligibility'!G18</f>
        <v>0.15843773028739869</v>
      </c>
      <c r="M18" s="39">
        <f t="shared" si="3"/>
        <v>0</v>
      </c>
      <c r="N18" s="39">
        <f t="shared" si="4"/>
        <v>0.9</v>
      </c>
      <c r="O18" s="39">
        <f t="shared" si="5"/>
        <v>0</v>
      </c>
      <c r="P18" s="15">
        <f t="shared" si="6"/>
        <v>0.9</v>
      </c>
      <c r="Q18" s="37">
        <f t="shared" si="7"/>
        <v>90126.735379527687</v>
      </c>
      <c r="R18">
        <f t="shared" si="8"/>
        <v>0</v>
      </c>
      <c r="S18" s="19">
        <f t="shared" si="9"/>
        <v>99129.286445950915</v>
      </c>
      <c r="T18" s="37">
        <f t="shared" si="10"/>
        <v>99129.286445950915</v>
      </c>
      <c r="U18" s="37">
        <f t="shared" si="11"/>
        <v>99129.286445950915</v>
      </c>
      <c r="V18">
        <f t="shared" si="12"/>
        <v>0</v>
      </c>
      <c r="W18" s="19">
        <f t="shared" si="13"/>
        <v>99129.286445950915</v>
      </c>
      <c r="X18" s="37">
        <f t="shared" si="14"/>
        <v>99129.286445950915</v>
      </c>
      <c r="Y18" s="37">
        <f t="shared" si="15"/>
        <v>99129.286445950915</v>
      </c>
      <c r="Z18">
        <f t="shared" si="16"/>
        <v>0</v>
      </c>
      <c r="AA18" s="19">
        <f t="shared" si="17"/>
        <v>99129.286445950915</v>
      </c>
      <c r="AB18" s="37">
        <f t="shared" si="18"/>
        <v>99129.286445950915</v>
      </c>
      <c r="AC18" s="37">
        <f t="shared" si="19"/>
        <v>99129.286445950915</v>
      </c>
    </row>
    <row r="19" spans="1:29" x14ac:dyDescent="0.25">
      <c r="A19" s="30">
        <v>3299999</v>
      </c>
      <c r="B19" t="s">
        <v>59</v>
      </c>
      <c r="C19" s="16">
        <f>Allocation!K27</f>
        <v>469350.43381176674</v>
      </c>
      <c r="D19">
        <f>'Formula Count Adjustments'!D19</f>
        <v>0</v>
      </c>
      <c r="E19">
        <f>'Formula Count Adjustments'!P19</f>
        <v>697</v>
      </c>
      <c r="F19">
        <f t="shared" si="0"/>
        <v>697</v>
      </c>
      <c r="G19" s="37">
        <f t="shared" si="1"/>
        <v>673.38656214026787</v>
      </c>
      <c r="H19">
        <f>'Formula Count Adjustments'!N19</f>
        <v>0</v>
      </c>
      <c r="I19" s="37">
        <f>IF('Formula Eligibility'!$H$20=1,G19*H19,0)</f>
        <v>0</v>
      </c>
      <c r="J19" s="37">
        <f t="shared" si="2"/>
        <v>469350.43381176674</v>
      </c>
      <c r="K19" s="37">
        <v>494053.0882229124</v>
      </c>
      <c r="L19" s="15">
        <f>'Formula Eligibility'!G19</f>
        <v>1</v>
      </c>
      <c r="M19" s="39">
        <f t="shared" si="3"/>
        <v>0</v>
      </c>
      <c r="N19" s="39">
        <f t="shared" si="4"/>
        <v>0</v>
      </c>
      <c r="O19" s="39">
        <f t="shared" si="5"/>
        <v>0.95</v>
      </c>
      <c r="P19" s="15">
        <f t="shared" si="6"/>
        <v>0.95</v>
      </c>
      <c r="Q19" s="37">
        <f t="shared" si="7"/>
        <v>469350.43381176674</v>
      </c>
      <c r="R19">
        <f t="shared" si="8"/>
        <v>0</v>
      </c>
      <c r="S19" s="19">
        <f t="shared" si="9"/>
        <v>469350.43381176674</v>
      </c>
      <c r="T19" s="37">
        <f t="shared" si="10"/>
        <v>469350.43381176674</v>
      </c>
      <c r="U19" s="37">
        <f t="shared" si="11"/>
        <v>469350.43381176674</v>
      </c>
      <c r="V19">
        <f t="shared" si="12"/>
        <v>0</v>
      </c>
      <c r="W19" s="19">
        <f t="shared" si="13"/>
        <v>469350.43381176674</v>
      </c>
      <c r="X19" s="37">
        <f t="shared" si="14"/>
        <v>469350.43381176674</v>
      </c>
      <c r="Y19" s="37">
        <f t="shared" si="15"/>
        <v>469350.43381176674</v>
      </c>
      <c r="Z19">
        <f t="shared" si="16"/>
        <v>0</v>
      </c>
      <c r="AA19" s="19">
        <f t="shared" si="17"/>
        <v>469350.43381176674</v>
      </c>
      <c r="AB19" s="37">
        <f t="shared" si="18"/>
        <v>469350.43381176674</v>
      </c>
      <c r="AC19" s="37">
        <f t="shared" si="19"/>
        <v>469350.43381176674</v>
      </c>
    </row>
    <row r="20" spans="1:29" s="35" customFormat="1" x14ac:dyDescent="0.25">
      <c r="A20" s="34">
        <v>9999999</v>
      </c>
      <c r="B20" s="35" t="s">
        <v>74</v>
      </c>
      <c r="C20" s="35">
        <v>0</v>
      </c>
      <c r="D20" s="35">
        <v>0</v>
      </c>
      <c r="E20" s="35">
        <v>0</v>
      </c>
      <c r="F20" s="35">
        <f t="shared" si="0"/>
        <v>0</v>
      </c>
      <c r="H20" s="35">
        <f>SUM(H2:H19)</f>
        <v>1751</v>
      </c>
      <c r="I20" s="51">
        <f>SUM(I2:I19)</f>
        <v>813683.30862268701</v>
      </c>
      <c r="J20" s="51">
        <f>I20</f>
        <v>813683.30862268701</v>
      </c>
      <c r="K20" s="51">
        <v>849782.99019274942</v>
      </c>
      <c r="L20" s="50">
        <f>'Formula Eligibility'!G20</f>
        <v>9.1445581783998323E-2</v>
      </c>
      <c r="M20" s="52">
        <f t="shared" si="3"/>
        <v>0.85</v>
      </c>
      <c r="N20" s="52">
        <f t="shared" si="4"/>
        <v>0</v>
      </c>
      <c r="O20" s="52">
        <f t="shared" si="5"/>
        <v>0</v>
      </c>
      <c r="P20" s="50">
        <f t="shared" si="6"/>
        <v>0.85</v>
      </c>
      <c r="Q20" s="51">
        <f t="shared" si="7"/>
        <v>722315.54166383704</v>
      </c>
      <c r="R20" s="35">
        <f t="shared" si="8"/>
        <v>0</v>
      </c>
      <c r="S20" s="53">
        <f t="shared" si="9"/>
        <v>813683.30862268701</v>
      </c>
      <c r="T20" s="51">
        <f t="shared" si="10"/>
        <v>813683.30862268712</v>
      </c>
      <c r="U20" s="51">
        <f t="shared" si="11"/>
        <v>813683.30862268712</v>
      </c>
      <c r="V20" s="35">
        <f t="shared" si="12"/>
        <v>0</v>
      </c>
      <c r="W20" s="53">
        <f t="shared" si="13"/>
        <v>813683.30862268712</v>
      </c>
      <c r="X20" s="51">
        <f t="shared" si="14"/>
        <v>813683.30862268712</v>
      </c>
      <c r="Y20" s="51">
        <f t="shared" si="15"/>
        <v>813683.30862268712</v>
      </c>
      <c r="Z20" s="35">
        <f t="shared" si="16"/>
        <v>0</v>
      </c>
      <c r="AA20" s="53">
        <f t="shared" si="17"/>
        <v>813683.30862268712</v>
      </c>
      <c r="AB20" s="51">
        <f t="shared" si="18"/>
        <v>813683.30862268712</v>
      </c>
      <c r="AC20" s="51">
        <f t="shared" si="19"/>
        <v>813683.30862268712</v>
      </c>
    </row>
    <row r="21" spans="1:29" x14ac:dyDescent="0.25">
      <c r="B21" s="28" t="s">
        <v>65</v>
      </c>
      <c r="C21" s="28"/>
      <c r="D21" s="28"/>
      <c r="E21" s="28"/>
      <c r="F21" s="28"/>
      <c r="G21" s="28"/>
      <c r="H21" s="28"/>
      <c r="I21" s="28"/>
      <c r="J21" s="38">
        <f>SUM(J2:J20)</f>
        <v>47954001.188539051</v>
      </c>
      <c r="AC21" s="38"/>
    </row>
    <row r="25" spans="1:29" x14ac:dyDescent="0.25">
      <c r="B25" s="28" t="s">
        <v>109</v>
      </c>
    </row>
  </sheetData>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4"/>
  <sheetViews>
    <sheetView tabSelected="1" workbookViewId="0"/>
  </sheetViews>
  <sheetFormatPr defaultRowHeight="15" x14ac:dyDescent="0.25"/>
  <cols>
    <col min="1" max="1" width="31.28515625" bestFit="1" customWidth="1"/>
    <col min="2" max="2" width="15.5703125" customWidth="1"/>
    <col min="3" max="3" width="22.42578125" customWidth="1"/>
    <col min="4" max="4" width="18" customWidth="1"/>
    <col min="5" max="5" width="16.7109375" customWidth="1"/>
    <col min="6" max="6" width="12.7109375" customWidth="1"/>
    <col min="7" max="7" width="11.5703125" bestFit="1" customWidth="1"/>
    <col min="8" max="8" width="16.42578125" customWidth="1"/>
    <col min="9" max="11" width="11.5703125" bestFit="1" customWidth="1"/>
    <col min="12" max="12" width="11.42578125" customWidth="1"/>
    <col min="13" max="15" width="11.5703125" bestFit="1" customWidth="1"/>
    <col min="16" max="16" width="12.28515625" customWidth="1"/>
    <col min="17" max="19" width="11.5703125" bestFit="1" customWidth="1"/>
    <col min="20" max="23" width="13.85546875" customWidth="1"/>
    <col min="24" max="24" width="14.5703125" customWidth="1"/>
    <col min="25" max="25" width="13.7109375" customWidth="1"/>
    <col min="26" max="26" width="21" bestFit="1" customWidth="1"/>
    <col min="28" max="28" width="11.140625" bestFit="1" customWidth="1"/>
    <col min="36" max="36" width="14.42578125" bestFit="1" customWidth="1"/>
  </cols>
  <sheetData>
    <row r="1" spans="1:36" ht="15.75" x14ac:dyDescent="0.25">
      <c r="A1" s="62" t="s">
        <v>159</v>
      </c>
      <c r="E1" s="56"/>
      <c r="F1" s="57"/>
      <c r="G1" s="57"/>
      <c r="H1" s="57"/>
      <c r="I1" s="57"/>
      <c r="J1" s="57"/>
      <c r="K1" s="57"/>
      <c r="L1" s="57"/>
      <c r="M1" s="57"/>
      <c r="N1" s="57"/>
      <c r="O1" s="57"/>
      <c r="P1" s="57"/>
      <c r="Q1" s="44"/>
      <c r="R1" s="44"/>
      <c r="S1" s="44"/>
      <c r="T1" s="44"/>
      <c r="U1" s="44"/>
      <c r="V1" s="44"/>
      <c r="W1" s="44"/>
      <c r="X1" s="44"/>
      <c r="Y1" s="40"/>
      <c r="Z1" s="40"/>
      <c r="AB1" s="28"/>
    </row>
    <row r="2" spans="1:36" x14ac:dyDescent="0.25">
      <c r="A2" s="63" t="s">
        <v>137</v>
      </c>
      <c r="E2" s="56"/>
      <c r="F2" s="57"/>
      <c r="G2" s="57"/>
      <c r="H2" s="57"/>
      <c r="I2" s="57"/>
      <c r="J2" s="57"/>
      <c r="K2" s="57"/>
      <c r="L2" s="57"/>
      <c r="M2" s="57"/>
      <c r="N2" s="57"/>
      <c r="O2" s="57"/>
      <c r="P2" s="57"/>
      <c r="Q2" s="44"/>
      <c r="R2" s="44"/>
      <c r="S2" s="44"/>
      <c r="T2" s="44"/>
      <c r="U2" s="44"/>
      <c r="V2" s="44"/>
      <c r="W2" s="44"/>
      <c r="X2" s="44"/>
      <c r="Y2" s="40"/>
      <c r="Z2" s="40"/>
      <c r="AB2" s="28"/>
    </row>
    <row r="3" spans="1:36" ht="15.75" x14ac:dyDescent="0.25">
      <c r="A3" s="64" t="s">
        <v>136</v>
      </c>
      <c r="E3" s="56"/>
      <c r="F3" s="57"/>
      <c r="G3" s="57"/>
      <c r="H3" s="57"/>
      <c r="I3" s="57"/>
      <c r="J3" s="57"/>
      <c r="K3" s="57"/>
      <c r="L3" s="57"/>
      <c r="M3" s="57"/>
      <c r="N3" s="57"/>
      <c r="O3" s="57"/>
      <c r="P3" s="57"/>
      <c r="Q3" s="44"/>
      <c r="R3" s="44"/>
      <c r="S3" s="44"/>
      <c r="T3" s="44"/>
      <c r="U3" s="44"/>
      <c r="V3" s="44"/>
      <c r="W3" s="44"/>
      <c r="X3" s="44"/>
      <c r="Y3" s="40"/>
      <c r="Z3" s="40"/>
      <c r="AB3" s="28"/>
    </row>
    <row r="4" spans="1:36" x14ac:dyDescent="0.25">
      <c r="A4" s="58" t="s">
        <v>114</v>
      </c>
      <c r="B4" s="60">
        <v>120000000</v>
      </c>
      <c r="F4" s="44"/>
      <c r="G4" s="44"/>
      <c r="H4" s="44"/>
      <c r="I4" s="44"/>
      <c r="J4" s="44"/>
      <c r="K4" s="44"/>
      <c r="L4" s="44"/>
      <c r="M4" s="44"/>
      <c r="N4" s="44"/>
      <c r="O4" s="44"/>
      <c r="P4" s="44"/>
      <c r="Q4" s="44"/>
      <c r="R4" s="44"/>
      <c r="S4" s="44"/>
      <c r="T4" s="44"/>
      <c r="U4" s="44"/>
      <c r="V4" s="44"/>
      <c r="W4" s="44"/>
      <c r="X4" s="45"/>
      <c r="Y4" s="47"/>
      <c r="Z4" s="45"/>
      <c r="AH4" s="16"/>
      <c r="AJ4" s="45"/>
    </row>
    <row r="5" spans="1:36" x14ac:dyDescent="0.25">
      <c r="A5" s="58" t="s">
        <v>116</v>
      </c>
      <c r="B5" s="61">
        <f>ROUND(B4*0.07,0)</f>
        <v>8400000</v>
      </c>
      <c r="F5" s="44"/>
      <c r="G5" s="44"/>
      <c r="H5" s="44"/>
      <c r="I5" s="44"/>
      <c r="J5" s="44"/>
      <c r="K5" s="44"/>
      <c r="L5" s="44"/>
      <c r="M5" s="44"/>
      <c r="N5" s="44"/>
      <c r="O5" s="44"/>
      <c r="P5" s="44"/>
      <c r="Q5" s="44"/>
      <c r="R5" s="44"/>
      <c r="S5" s="44"/>
      <c r="T5" s="44"/>
      <c r="U5" s="44"/>
      <c r="V5" s="44"/>
      <c r="W5" s="44"/>
      <c r="X5" s="45"/>
      <c r="Y5" s="48"/>
      <c r="Z5" s="45"/>
      <c r="AB5" s="16"/>
      <c r="AJ5" s="49"/>
    </row>
    <row r="6" spans="1:36" ht="45" x14ac:dyDescent="0.25">
      <c r="A6" s="59" t="s">
        <v>115</v>
      </c>
      <c r="B6" s="61">
        <v>8000000</v>
      </c>
      <c r="F6" s="44"/>
      <c r="G6" s="44"/>
      <c r="H6" s="44"/>
      <c r="I6" s="44"/>
      <c r="J6" s="44"/>
      <c r="K6" s="44"/>
      <c r="L6" s="44"/>
      <c r="M6" s="44"/>
      <c r="N6" s="44"/>
      <c r="O6" s="44"/>
      <c r="P6" s="44"/>
      <c r="Q6" s="44"/>
      <c r="R6" s="44"/>
      <c r="S6" s="44"/>
      <c r="T6" s="44"/>
      <c r="U6" s="44"/>
      <c r="V6" s="44"/>
      <c r="W6" s="44"/>
      <c r="X6" s="45"/>
      <c r="Y6" s="48"/>
      <c r="Z6" s="45"/>
      <c r="AB6" s="16"/>
      <c r="AJ6" s="49"/>
    </row>
    <row r="7" spans="1:36" ht="90" x14ac:dyDescent="0.25">
      <c r="A7" s="59" t="s">
        <v>140</v>
      </c>
      <c r="B7" s="61">
        <f>MAX(B5:B6)</f>
        <v>8400000</v>
      </c>
      <c r="F7" s="44"/>
      <c r="G7" s="65" t="s">
        <v>150</v>
      </c>
      <c r="H7" s="44"/>
      <c r="I7" s="44"/>
      <c r="J7" s="65" t="s">
        <v>146</v>
      </c>
      <c r="K7" s="44"/>
      <c r="L7" s="44"/>
      <c r="M7" s="44"/>
      <c r="N7" s="65" t="s">
        <v>147</v>
      </c>
      <c r="O7" s="44"/>
      <c r="P7" s="44"/>
      <c r="Q7" s="44"/>
      <c r="R7" s="65" t="s">
        <v>148</v>
      </c>
      <c r="S7" s="44"/>
      <c r="T7" s="44"/>
      <c r="U7" s="44"/>
      <c r="V7" s="65" t="s">
        <v>149</v>
      </c>
      <c r="W7" s="44"/>
      <c r="X7" s="45"/>
      <c r="Y7" s="70" t="s">
        <v>139</v>
      </c>
      <c r="Z7" s="45"/>
      <c r="AB7" s="16"/>
      <c r="AJ7" s="49"/>
    </row>
    <row r="8" spans="1:36" ht="60" x14ac:dyDescent="0.25">
      <c r="A8" s="59" t="s">
        <v>157</v>
      </c>
      <c r="B8" s="60">
        <f>MIN(B7,E30)</f>
        <v>8400000</v>
      </c>
      <c r="F8" s="44"/>
      <c r="G8" s="66">
        <f>D30-B8</f>
        <v>110333456</v>
      </c>
      <c r="H8" s="44"/>
      <c r="I8" s="44"/>
      <c r="J8" s="66">
        <f>$G30-$H30</f>
        <v>58869796</v>
      </c>
      <c r="K8" s="44"/>
      <c r="L8" s="44"/>
      <c r="M8" s="44"/>
      <c r="N8" s="66">
        <f>$G30-$H30-$L30</f>
        <v>58869796</v>
      </c>
      <c r="O8" s="44"/>
      <c r="P8" s="44"/>
      <c r="Q8" s="44"/>
      <c r="R8" s="66">
        <f>$G30-$H30-$L30-$P30</f>
        <v>58869796</v>
      </c>
      <c r="S8" s="44"/>
      <c r="T8" s="44"/>
      <c r="U8" s="44"/>
      <c r="V8" s="66">
        <f>$G30-$H30-$L30-$P30-T$30</f>
        <v>58869796</v>
      </c>
      <c r="W8" s="44"/>
      <c r="X8" s="44"/>
      <c r="Y8" s="67">
        <f>B4-B8-X30</f>
        <v>0</v>
      </c>
      <c r="Z8" s="56"/>
      <c r="AE8" s="55"/>
    </row>
    <row r="9" spans="1:36" x14ac:dyDescent="0.25">
      <c r="F9" s="44"/>
      <c r="G9" s="44"/>
      <c r="H9" s="44"/>
      <c r="I9" s="44"/>
      <c r="J9" s="44"/>
      <c r="K9" s="44"/>
      <c r="L9" s="44"/>
      <c r="M9" s="44"/>
      <c r="N9" s="44"/>
      <c r="O9" s="44"/>
      <c r="P9" s="44"/>
      <c r="Q9" s="44"/>
      <c r="R9" s="44"/>
      <c r="S9" s="44"/>
      <c r="T9" s="44"/>
      <c r="U9" s="44"/>
      <c r="V9" s="44"/>
      <c r="W9" s="44"/>
      <c r="X9" s="44"/>
      <c r="Z9" s="40"/>
      <c r="AB9" s="16"/>
      <c r="AE9" s="55"/>
    </row>
    <row r="10" spans="1:36" s="36" customFormat="1" ht="165" x14ac:dyDescent="0.25">
      <c r="A10" s="32" t="s">
        <v>60</v>
      </c>
      <c r="B10" s="46" t="s">
        <v>135</v>
      </c>
      <c r="C10" s="33" t="s">
        <v>144</v>
      </c>
      <c r="D10" s="33" t="s">
        <v>106</v>
      </c>
      <c r="E10" s="33" t="s">
        <v>145</v>
      </c>
      <c r="F10" s="46" t="s">
        <v>143</v>
      </c>
      <c r="G10" s="46" t="s">
        <v>155</v>
      </c>
      <c r="H10" s="46" t="s">
        <v>156</v>
      </c>
      <c r="I10" s="46" t="s">
        <v>107</v>
      </c>
      <c r="J10" s="46" t="s">
        <v>141</v>
      </c>
      <c r="K10" s="46" t="s">
        <v>142</v>
      </c>
      <c r="L10" s="46" t="s">
        <v>151</v>
      </c>
      <c r="M10" s="46" t="s">
        <v>107</v>
      </c>
      <c r="N10" s="46" t="s">
        <v>141</v>
      </c>
      <c r="O10" s="46" t="s">
        <v>142</v>
      </c>
      <c r="P10" s="46" t="s">
        <v>152</v>
      </c>
      <c r="Q10" s="46" t="s">
        <v>107</v>
      </c>
      <c r="R10" s="46" t="s">
        <v>141</v>
      </c>
      <c r="S10" s="46" t="s">
        <v>142</v>
      </c>
      <c r="T10" s="46" t="s">
        <v>153</v>
      </c>
      <c r="U10" s="46" t="s">
        <v>107</v>
      </c>
      <c r="V10" s="46" t="s">
        <v>141</v>
      </c>
      <c r="W10" s="46" t="s">
        <v>142</v>
      </c>
      <c r="X10" s="46" t="s">
        <v>108</v>
      </c>
      <c r="Y10" s="46" t="s">
        <v>154</v>
      </c>
      <c r="Z10" s="73" t="s">
        <v>158</v>
      </c>
    </row>
    <row r="11" spans="1:36" x14ac:dyDescent="0.25">
      <c r="A11" t="s">
        <v>117</v>
      </c>
      <c r="B11" s="16">
        <v>1356434</v>
      </c>
      <c r="C11" s="16">
        <v>1370345</v>
      </c>
      <c r="D11" s="41">
        <f t="shared" ref="D11:D29" si="0">IF(C11&lt;B11,0,C11)</f>
        <v>1370345</v>
      </c>
      <c r="E11" s="42">
        <f t="shared" ref="E11:E29" si="1">IF(D11&gt;0,(C11-B11),0)</f>
        <v>13911</v>
      </c>
      <c r="F11" s="44">
        <f t="shared" ref="F11:F29" si="2">IF(D11&gt;0,B11,0)</f>
        <v>1356434</v>
      </c>
      <c r="G11" s="44">
        <f t="shared" ref="G11:G29" si="3">(D11/$D$30)*$G$8</f>
        <v>1273397.6155997682</v>
      </c>
      <c r="H11" s="44">
        <f>IF(G11&lt;F11,F11,0)</f>
        <v>1356434</v>
      </c>
      <c r="I11" s="44">
        <f>IF($H11=0,G11,0)</f>
        <v>0</v>
      </c>
      <c r="J11" s="44">
        <f t="shared" ref="J11:J29" si="4">(I11/$I$30)*$J$8</f>
        <v>0</v>
      </c>
      <c r="K11" s="44">
        <f>$H11+J11</f>
        <v>1356434</v>
      </c>
      <c r="L11" s="44">
        <f>IF(K11&lt;$F11,$F11,0)</f>
        <v>0</v>
      </c>
      <c r="M11" s="44">
        <f>IF($H11+$L11=0,K11,0)</f>
        <v>0</v>
      </c>
      <c r="N11" s="44">
        <f t="shared" ref="N11:N29" si="5">(M11/$M$30)*$N$8</f>
        <v>0</v>
      </c>
      <c r="O11" s="44">
        <f>$H11+$L11+N11</f>
        <v>1356434</v>
      </c>
      <c r="P11" s="44">
        <f>IF(O11&lt;$F11,$F11,0)</f>
        <v>0</v>
      </c>
      <c r="Q11" s="44">
        <f>IF($H11+$L11+$P11=0,O11,0)</f>
        <v>0</v>
      </c>
      <c r="R11" s="44">
        <f t="shared" ref="R11:R29" si="6">(Q11/$Q$30)*$R$8</f>
        <v>0</v>
      </c>
      <c r="S11" s="44">
        <f>$H11+$L11+$P11+R11</f>
        <v>1356434</v>
      </c>
      <c r="T11" s="44">
        <f>IF(S11&lt;$F11,$F11,0)</f>
        <v>0</v>
      </c>
      <c r="U11" s="44">
        <f>IF($H11+$L11+$P11+$T11=0,S11,0)</f>
        <v>0</v>
      </c>
      <c r="V11" s="44">
        <f>(U11/$U$30)*$V$8</f>
        <v>0</v>
      </c>
      <c r="W11" s="44">
        <f>$H11+$L11+$P11+$T11+V11</f>
        <v>1356434</v>
      </c>
      <c r="X11" s="44">
        <f>IF($B$8&lt;$B$7,(C11-E11),(IF(W11=0,C11,W11)))</f>
        <v>1356434</v>
      </c>
      <c r="Y11" s="44">
        <f>IF(X11&lt;$F11,$F11,0)</f>
        <v>0</v>
      </c>
    </row>
    <row r="12" spans="1:36" x14ac:dyDescent="0.25">
      <c r="A12" t="s">
        <v>118</v>
      </c>
      <c r="B12" s="16">
        <v>613334</v>
      </c>
      <c r="C12" s="16">
        <v>630193</v>
      </c>
      <c r="D12" s="41">
        <f t="shared" si="0"/>
        <v>630193</v>
      </c>
      <c r="E12" s="42">
        <f t="shared" si="1"/>
        <v>16859</v>
      </c>
      <c r="F12" s="44">
        <f t="shared" si="2"/>
        <v>613334</v>
      </c>
      <c r="G12" s="44">
        <f t="shared" si="3"/>
        <v>585608.92590381601</v>
      </c>
      <c r="H12" s="44">
        <f t="shared" ref="H12:H29" si="7">IF(G12&lt;F12,F12,0)</f>
        <v>613334</v>
      </c>
      <c r="I12" s="44">
        <f t="shared" ref="I12:I29" si="8">IF($H12=0,G12,0)</f>
        <v>0</v>
      </c>
      <c r="J12" s="44">
        <f t="shared" si="4"/>
        <v>0</v>
      </c>
      <c r="K12" s="44">
        <f t="shared" ref="K12:K29" si="9">$H12+J12</f>
        <v>613334</v>
      </c>
      <c r="L12" s="44">
        <f t="shared" ref="L12:L29" si="10">IF(K12&lt;$F12,$F12,0)</f>
        <v>0</v>
      </c>
      <c r="M12" s="44">
        <f t="shared" ref="M12:M29" si="11">IF($H12+$L12=0,K12,0)</f>
        <v>0</v>
      </c>
      <c r="N12" s="44">
        <f t="shared" si="5"/>
        <v>0</v>
      </c>
      <c r="O12" s="44">
        <f t="shared" ref="O12:O29" si="12">$H12+$L12+N12</f>
        <v>613334</v>
      </c>
      <c r="P12" s="44">
        <f t="shared" ref="P12:P29" si="13">IF(O12&lt;$F12,$F12,0)</f>
        <v>0</v>
      </c>
      <c r="Q12" s="44">
        <f t="shared" ref="Q12:Q29" si="14">IF($H12+$L12+$P12=0,O12,0)</f>
        <v>0</v>
      </c>
      <c r="R12" s="44">
        <f t="shared" si="6"/>
        <v>0</v>
      </c>
      <c r="S12" s="44">
        <f t="shared" ref="S12:S29" si="15">$H12+$L12+$P12+R12</f>
        <v>613334</v>
      </c>
      <c r="T12" s="44">
        <f t="shared" ref="T12:T29" si="16">IF(S12&lt;$F12,$F12,0)</f>
        <v>0</v>
      </c>
      <c r="U12" s="44">
        <f t="shared" ref="U12:U29" si="17">IF($H12+$L12+$P12+$T12=0,S12,0)</f>
        <v>0</v>
      </c>
      <c r="V12" s="44">
        <f t="shared" ref="V12:V29" si="18">(U12/$U$30)*$V$8</f>
        <v>0</v>
      </c>
      <c r="W12" s="44">
        <f t="shared" ref="W12:W29" si="19">$H12+$L12+$P12+$T12+V12</f>
        <v>613334</v>
      </c>
      <c r="X12" s="44">
        <f t="shared" ref="X12:X29" si="20">IF($B$8&lt;$B$7,(C12-E12),(IF(W12=0,C12,W12)))</f>
        <v>613334</v>
      </c>
      <c r="Y12" s="44">
        <f t="shared" ref="Y12:Y29" si="21">IF(X12&lt;$F12,$F12,0)</f>
        <v>0</v>
      </c>
    </row>
    <row r="13" spans="1:36" x14ac:dyDescent="0.25">
      <c r="A13" t="s">
        <v>119</v>
      </c>
      <c r="B13" s="16">
        <v>54190517</v>
      </c>
      <c r="C13" s="16">
        <v>61470338</v>
      </c>
      <c r="D13" s="41">
        <f t="shared" si="0"/>
        <v>61470338</v>
      </c>
      <c r="E13" s="42">
        <f t="shared" si="1"/>
        <v>7279821</v>
      </c>
      <c r="F13" s="44">
        <f t="shared" si="2"/>
        <v>54190517</v>
      </c>
      <c r="G13" s="44">
        <f t="shared" si="3"/>
        <v>57121514.537807502</v>
      </c>
      <c r="H13" s="44">
        <f t="shared" si="7"/>
        <v>0</v>
      </c>
      <c r="I13" s="44">
        <f t="shared" si="8"/>
        <v>57121514.537807502</v>
      </c>
      <c r="J13" s="44">
        <f t="shared" si="4"/>
        <v>55721081.788963504</v>
      </c>
      <c r="K13" s="44">
        <f t="shared" si="9"/>
        <v>55721081.788963504</v>
      </c>
      <c r="L13" s="44">
        <f t="shared" si="10"/>
        <v>0</v>
      </c>
      <c r="M13" s="44">
        <f t="shared" si="11"/>
        <v>55721081.788963504</v>
      </c>
      <c r="N13" s="44">
        <f t="shared" si="5"/>
        <v>55721081.788963504</v>
      </c>
      <c r="O13" s="44">
        <f t="shared" si="12"/>
        <v>55721081.788963504</v>
      </c>
      <c r="P13" s="44">
        <f t="shared" si="13"/>
        <v>0</v>
      </c>
      <c r="Q13" s="44">
        <f t="shared" si="14"/>
        <v>55721081.788963504</v>
      </c>
      <c r="R13" s="44">
        <f t="shared" si="6"/>
        <v>55721081.788963504</v>
      </c>
      <c r="S13" s="44">
        <f t="shared" si="15"/>
        <v>55721081.788963504</v>
      </c>
      <c r="T13" s="44">
        <f t="shared" si="16"/>
        <v>0</v>
      </c>
      <c r="U13" s="44">
        <f t="shared" si="17"/>
        <v>55721081.788963504</v>
      </c>
      <c r="V13" s="44">
        <f t="shared" si="18"/>
        <v>55721081.788963504</v>
      </c>
      <c r="W13" s="44">
        <f t="shared" si="19"/>
        <v>55721081.788963504</v>
      </c>
      <c r="X13" s="44">
        <f t="shared" si="20"/>
        <v>55721081.788963504</v>
      </c>
      <c r="Y13" s="44">
        <f t="shared" si="21"/>
        <v>0</v>
      </c>
    </row>
    <row r="14" spans="1:36" x14ac:dyDescent="0.25">
      <c r="A14" t="s">
        <v>120</v>
      </c>
      <c r="B14" s="16">
        <v>624061</v>
      </c>
      <c r="C14" s="16">
        <v>648819</v>
      </c>
      <c r="D14" s="41">
        <f t="shared" si="0"/>
        <v>648819</v>
      </c>
      <c r="E14" s="42">
        <f t="shared" si="1"/>
        <v>24758</v>
      </c>
      <c r="F14" s="44">
        <f t="shared" si="2"/>
        <v>624061</v>
      </c>
      <c r="G14" s="44">
        <f t="shared" si="3"/>
        <v>602917.19789967209</v>
      </c>
      <c r="H14" s="44">
        <f t="shared" si="7"/>
        <v>624061</v>
      </c>
      <c r="I14" s="44">
        <f t="shared" si="8"/>
        <v>0</v>
      </c>
      <c r="J14" s="44">
        <f t="shared" si="4"/>
        <v>0</v>
      </c>
      <c r="K14" s="44">
        <f t="shared" si="9"/>
        <v>624061</v>
      </c>
      <c r="L14" s="44">
        <f t="shared" si="10"/>
        <v>0</v>
      </c>
      <c r="M14" s="44">
        <f t="shared" si="11"/>
        <v>0</v>
      </c>
      <c r="N14" s="44">
        <f t="shared" si="5"/>
        <v>0</v>
      </c>
      <c r="O14" s="44">
        <f t="shared" si="12"/>
        <v>624061</v>
      </c>
      <c r="P14" s="44">
        <f t="shared" si="13"/>
        <v>0</v>
      </c>
      <c r="Q14" s="44">
        <f t="shared" si="14"/>
        <v>0</v>
      </c>
      <c r="R14" s="44">
        <f t="shared" si="6"/>
        <v>0</v>
      </c>
      <c r="S14" s="44">
        <f t="shared" si="15"/>
        <v>624061</v>
      </c>
      <c r="T14" s="44">
        <f t="shared" si="16"/>
        <v>0</v>
      </c>
      <c r="U14" s="44">
        <f t="shared" si="17"/>
        <v>0</v>
      </c>
      <c r="V14" s="44">
        <f t="shared" si="18"/>
        <v>0</v>
      </c>
      <c r="W14" s="44">
        <f t="shared" si="19"/>
        <v>624061</v>
      </c>
      <c r="X14" s="44">
        <f t="shared" si="20"/>
        <v>624061</v>
      </c>
      <c r="Y14" s="44">
        <f t="shared" si="21"/>
        <v>0</v>
      </c>
    </row>
    <row r="15" spans="1:36" x14ac:dyDescent="0.25">
      <c r="A15" t="s">
        <v>121</v>
      </c>
      <c r="B15" s="16">
        <v>760037</v>
      </c>
      <c r="C15" s="16">
        <v>814811</v>
      </c>
      <c r="D15" s="41">
        <f t="shared" si="0"/>
        <v>814811</v>
      </c>
      <c r="E15" s="42">
        <f t="shared" si="1"/>
        <v>54774</v>
      </c>
      <c r="F15" s="44">
        <f t="shared" si="2"/>
        <v>760037</v>
      </c>
      <c r="G15" s="44">
        <f t="shared" si="3"/>
        <v>757165.81194112636</v>
      </c>
      <c r="H15" s="44">
        <f t="shared" si="7"/>
        <v>760037</v>
      </c>
      <c r="I15" s="44">
        <f t="shared" si="8"/>
        <v>0</v>
      </c>
      <c r="J15" s="44">
        <f t="shared" si="4"/>
        <v>0</v>
      </c>
      <c r="K15" s="44">
        <f t="shared" si="9"/>
        <v>760037</v>
      </c>
      <c r="L15" s="44">
        <f t="shared" si="10"/>
        <v>0</v>
      </c>
      <c r="M15" s="44">
        <f t="shared" si="11"/>
        <v>0</v>
      </c>
      <c r="N15" s="44">
        <f t="shared" si="5"/>
        <v>0</v>
      </c>
      <c r="O15" s="44">
        <f t="shared" si="12"/>
        <v>760037</v>
      </c>
      <c r="P15" s="44">
        <f t="shared" si="13"/>
        <v>0</v>
      </c>
      <c r="Q15" s="44">
        <f t="shared" si="14"/>
        <v>0</v>
      </c>
      <c r="R15" s="44">
        <f t="shared" si="6"/>
        <v>0</v>
      </c>
      <c r="S15" s="44">
        <f t="shared" si="15"/>
        <v>760037</v>
      </c>
      <c r="T15" s="44">
        <f t="shared" si="16"/>
        <v>0</v>
      </c>
      <c r="U15" s="44">
        <f t="shared" si="17"/>
        <v>0</v>
      </c>
      <c r="V15" s="44">
        <f t="shared" si="18"/>
        <v>0</v>
      </c>
      <c r="W15" s="44">
        <f t="shared" si="19"/>
        <v>760037</v>
      </c>
      <c r="X15" s="44">
        <f t="shared" si="20"/>
        <v>760037</v>
      </c>
      <c r="Y15" s="44">
        <f t="shared" si="21"/>
        <v>0</v>
      </c>
    </row>
    <row r="16" spans="1:36" x14ac:dyDescent="0.25">
      <c r="A16" t="s">
        <v>122</v>
      </c>
      <c r="B16" s="16">
        <v>14978</v>
      </c>
      <c r="C16" s="16">
        <v>15320</v>
      </c>
      <c r="D16" s="41">
        <f t="shared" si="0"/>
        <v>15320</v>
      </c>
      <c r="E16" s="42">
        <f t="shared" si="1"/>
        <v>342</v>
      </c>
      <c r="F16" s="44">
        <f t="shared" si="2"/>
        <v>14978</v>
      </c>
      <c r="G16" s="44">
        <f t="shared" si="3"/>
        <v>14236.160580721244</v>
      </c>
      <c r="H16" s="44">
        <f t="shared" si="7"/>
        <v>14978</v>
      </c>
      <c r="I16" s="44">
        <f t="shared" si="8"/>
        <v>0</v>
      </c>
      <c r="J16" s="44">
        <f t="shared" si="4"/>
        <v>0</v>
      </c>
      <c r="K16" s="44">
        <f t="shared" si="9"/>
        <v>14978</v>
      </c>
      <c r="L16" s="44">
        <f t="shared" si="10"/>
        <v>0</v>
      </c>
      <c r="M16" s="44">
        <f t="shared" si="11"/>
        <v>0</v>
      </c>
      <c r="N16" s="44">
        <f t="shared" si="5"/>
        <v>0</v>
      </c>
      <c r="O16" s="44">
        <f t="shared" si="12"/>
        <v>14978</v>
      </c>
      <c r="P16" s="44">
        <f t="shared" si="13"/>
        <v>0</v>
      </c>
      <c r="Q16" s="44">
        <f t="shared" si="14"/>
        <v>0</v>
      </c>
      <c r="R16" s="44">
        <f t="shared" si="6"/>
        <v>0</v>
      </c>
      <c r="S16" s="44">
        <f t="shared" si="15"/>
        <v>14978</v>
      </c>
      <c r="T16" s="44">
        <f t="shared" si="16"/>
        <v>0</v>
      </c>
      <c r="U16" s="44">
        <f t="shared" si="17"/>
        <v>0</v>
      </c>
      <c r="V16" s="44">
        <f t="shared" si="18"/>
        <v>0</v>
      </c>
      <c r="W16" s="44">
        <f t="shared" si="19"/>
        <v>14978</v>
      </c>
      <c r="X16" s="44">
        <f t="shared" si="20"/>
        <v>14978</v>
      </c>
      <c r="Y16" s="44">
        <f t="shared" si="21"/>
        <v>0</v>
      </c>
    </row>
    <row r="17" spans="1:25" x14ac:dyDescent="0.25">
      <c r="A17" t="s">
        <v>123</v>
      </c>
      <c r="B17" s="16">
        <v>21150</v>
      </c>
      <c r="C17" s="16">
        <v>19757</v>
      </c>
      <c r="D17" s="41">
        <f t="shared" si="0"/>
        <v>0</v>
      </c>
      <c r="E17" s="42">
        <f t="shared" si="1"/>
        <v>0</v>
      </c>
      <c r="F17" s="44">
        <f t="shared" si="2"/>
        <v>0</v>
      </c>
      <c r="G17" s="44">
        <f t="shared" si="3"/>
        <v>0</v>
      </c>
      <c r="H17" s="44">
        <f t="shared" si="7"/>
        <v>0</v>
      </c>
      <c r="I17" s="44">
        <f t="shared" si="8"/>
        <v>0</v>
      </c>
      <c r="J17" s="44">
        <f t="shared" si="4"/>
        <v>0</v>
      </c>
      <c r="K17" s="44">
        <f t="shared" si="9"/>
        <v>0</v>
      </c>
      <c r="L17" s="44">
        <f t="shared" si="10"/>
        <v>0</v>
      </c>
      <c r="M17" s="44">
        <f t="shared" si="11"/>
        <v>0</v>
      </c>
      <c r="N17" s="44">
        <f t="shared" si="5"/>
        <v>0</v>
      </c>
      <c r="O17" s="44">
        <f t="shared" si="12"/>
        <v>0</v>
      </c>
      <c r="P17" s="44">
        <f t="shared" si="13"/>
        <v>0</v>
      </c>
      <c r="Q17" s="44">
        <f t="shared" si="14"/>
        <v>0</v>
      </c>
      <c r="R17" s="44">
        <f t="shared" si="6"/>
        <v>0</v>
      </c>
      <c r="S17" s="44">
        <f t="shared" si="15"/>
        <v>0</v>
      </c>
      <c r="T17" s="44">
        <f t="shared" si="16"/>
        <v>0</v>
      </c>
      <c r="U17" s="44">
        <f t="shared" si="17"/>
        <v>0</v>
      </c>
      <c r="V17" s="44">
        <f t="shared" si="18"/>
        <v>0</v>
      </c>
      <c r="W17" s="44">
        <f t="shared" si="19"/>
        <v>0</v>
      </c>
      <c r="X17" s="44">
        <f t="shared" si="20"/>
        <v>19757</v>
      </c>
      <c r="Y17" s="44">
        <f t="shared" si="21"/>
        <v>0</v>
      </c>
    </row>
    <row r="18" spans="1:25" x14ac:dyDescent="0.25">
      <c r="A18" t="s">
        <v>124</v>
      </c>
      <c r="B18" s="16">
        <v>349079</v>
      </c>
      <c r="C18" s="16">
        <v>343424</v>
      </c>
      <c r="D18" s="41">
        <f t="shared" si="0"/>
        <v>0</v>
      </c>
      <c r="E18" s="42">
        <f t="shared" si="1"/>
        <v>0</v>
      </c>
      <c r="F18" s="44">
        <f t="shared" si="2"/>
        <v>0</v>
      </c>
      <c r="G18" s="44">
        <f t="shared" si="3"/>
        <v>0</v>
      </c>
      <c r="H18" s="44">
        <f t="shared" si="7"/>
        <v>0</v>
      </c>
      <c r="I18" s="44">
        <f t="shared" si="8"/>
        <v>0</v>
      </c>
      <c r="J18" s="44">
        <f t="shared" si="4"/>
        <v>0</v>
      </c>
      <c r="K18" s="44">
        <f t="shared" si="9"/>
        <v>0</v>
      </c>
      <c r="L18" s="44">
        <f t="shared" si="10"/>
        <v>0</v>
      </c>
      <c r="M18" s="44">
        <f t="shared" si="11"/>
        <v>0</v>
      </c>
      <c r="N18" s="44">
        <f t="shared" si="5"/>
        <v>0</v>
      </c>
      <c r="O18" s="44">
        <f t="shared" si="12"/>
        <v>0</v>
      </c>
      <c r="P18" s="44">
        <f t="shared" si="13"/>
        <v>0</v>
      </c>
      <c r="Q18" s="44">
        <f t="shared" si="14"/>
        <v>0</v>
      </c>
      <c r="R18" s="44">
        <f t="shared" si="6"/>
        <v>0</v>
      </c>
      <c r="S18" s="44">
        <f t="shared" si="15"/>
        <v>0</v>
      </c>
      <c r="T18" s="44">
        <f t="shared" si="16"/>
        <v>0</v>
      </c>
      <c r="U18" s="44">
        <f t="shared" si="17"/>
        <v>0</v>
      </c>
      <c r="V18" s="44">
        <f t="shared" si="18"/>
        <v>0</v>
      </c>
      <c r="W18" s="44">
        <f t="shared" si="19"/>
        <v>0</v>
      </c>
      <c r="X18" s="44">
        <f t="shared" si="20"/>
        <v>343424</v>
      </c>
      <c r="Y18" s="44">
        <f t="shared" si="21"/>
        <v>0</v>
      </c>
    </row>
    <row r="19" spans="1:25" x14ac:dyDescent="0.25">
      <c r="A19" t="s">
        <v>125</v>
      </c>
      <c r="B19" s="16">
        <v>92609</v>
      </c>
      <c r="C19" s="16">
        <v>95333</v>
      </c>
      <c r="D19" s="41">
        <f t="shared" si="0"/>
        <v>95333</v>
      </c>
      <c r="E19" s="42">
        <f t="shared" si="1"/>
        <v>2724</v>
      </c>
      <c r="F19" s="44">
        <f t="shared" si="2"/>
        <v>92609</v>
      </c>
      <c r="G19" s="44">
        <f t="shared" si="3"/>
        <v>88588.505002734863</v>
      </c>
      <c r="H19" s="44">
        <f t="shared" si="7"/>
        <v>92609</v>
      </c>
      <c r="I19" s="44">
        <f t="shared" si="8"/>
        <v>0</v>
      </c>
      <c r="J19" s="44">
        <f t="shared" si="4"/>
        <v>0</v>
      </c>
      <c r="K19" s="44">
        <f t="shared" si="9"/>
        <v>92609</v>
      </c>
      <c r="L19" s="44">
        <f t="shared" si="10"/>
        <v>0</v>
      </c>
      <c r="M19" s="44">
        <f t="shared" si="11"/>
        <v>0</v>
      </c>
      <c r="N19" s="44">
        <f t="shared" si="5"/>
        <v>0</v>
      </c>
      <c r="O19" s="44">
        <f t="shared" si="12"/>
        <v>92609</v>
      </c>
      <c r="P19" s="44">
        <f t="shared" si="13"/>
        <v>0</v>
      </c>
      <c r="Q19" s="44">
        <f t="shared" si="14"/>
        <v>0</v>
      </c>
      <c r="R19" s="44">
        <f t="shared" si="6"/>
        <v>0</v>
      </c>
      <c r="S19" s="44">
        <f t="shared" si="15"/>
        <v>92609</v>
      </c>
      <c r="T19" s="44">
        <f t="shared" si="16"/>
        <v>0</v>
      </c>
      <c r="U19" s="44">
        <f t="shared" si="17"/>
        <v>0</v>
      </c>
      <c r="V19" s="44">
        <f t="shared" si="18"/>
        <v>0</v>
      </c>
      <c r="W19" s="44">
        <f t="shared" si="19"/>
        <v>92609</v>
      </c>
      <c r="X19" s="44">
        <f t="shared" si="20"/>
        <v>92609</v>
      </c>
      <c r="Y19" s="44">
        <f t="shared" si="21"/>
        <v>0</v>
      </c>
    </row>
    <row r="20" spans="1:25" x14ac:dyDescent="0.25">
      <c r="A20" t="s">
        <v>126</v>
      </c>
      <c r="B20" s="16">
        <v>121859</v>
      </c>
      <c r="C20" s="16">
        <v>128742</v>
      </c>
      <c r="D20" s="41">
        <f t="shared" si="0"/>
        <v>128742</v>
      </c>
      <c r="E20" s="42">
        <f t="shared" si="1"/>
        <v>6883</v>
      </c>
      <c r="F20" s="44">
        <f t="shared" si="2"/>
        <v>121859</v>
      </c>
      <c r="G20" s="44">
        <f t="shared" si="3"/>
        <v>119633.92855634556</v>
      </c>
      <c r="H20" s="44">
        <f t="shared" si="7"/>
        <v>121859</v>
      </c>
      <c r="I20" s="44">
        <f t="shared" si="8"/>
        <v>0</v>
      </c>
      <c r="J20" s="44">
        <f t="shared" si="4"/>
        <v>0</v>
      </c>
      <c r="K20" s="44">
        <f t="shared" si="9"/>
        <v>121859</v>
      </c>
      <c r="L20" s="44">
        <f t="shared" si="10"/>
        <v>0</v>
      </c>
      <c r="M20" s="44">
        <f t="shared" si="11"/>
        <v>0</v>
      </c>
      <c r="N20" s="44">
        <f t="shared" si="5"/>
        <v>0</v>
      </c>
      <c r="O20" s="44">
        <f t="shared" si="12"/>
        <v>121859</v>
      </c>
      <c r="P20" s="44">
        <f t="shared" si="13"/>
        <v>0</v>
      </c>
      <c r="Q20" s="44">
        <f t="shared" si="14"/>
        <v>0</v>
      </c>
      <c r="R20" s="44">
        <f t="shared" si="6"/>
        <v>0</v>
      </c>
      <c r="S20" s="44">
        <f t="shared" si="15"/>
        <v>121859</v>
      </c>
      <c r="T20" s="44">
        <f t="shared" si="16"/>
        <v>0</v>
      </c>
      <c r="U20" s="44">
        <f t="shared" si="17"/>
        <v>0</v>
      </c>
      <c r="V20" s="44">
        <f t="shared" si="18"/>
        <v>0</v>
      </c>
      <c r="W20" s="44">
        <f t="shared" si="19"/>
        <v>121859</v>
      </c>
      <c r="X20" s="44">
        <f t="shared" si="20"/>
        <v>121859</v>
      </c>
      <c r="Y20" s="44">
        <f t="shared" si="21"/>
        <v>0</v>
      </c>
    </row>
    <row r="21" spans="1:25" x14ac:dyDescent="0.25">
      <c r="A21" t="s">
        <v>127</v>
      </c>
      <c r="B21" s="16">
        <v>1434953</v>
      </c>
      <c r="C21" s="16">
        <v>1597705</v>
      </c>
      <c r="D21" s="41">
        <f t="shared" si="0"/>
        <v>1597705</v>
      </c>
      <c r="E21" s="42">
        <f t="shared" si="1"/>
        <v>162752</v>
      </c>
      <c r="F21" s="44">
        <f t="shared" si="2"/>
        <v>1434953</v>
      </c>
      <c r="G21" s="44">
        <f t="shared" si="3"/>
        <v>1484672.6462546496</v>
      </c>
      <c r="H21" s="44">
        <f t="shared" si="7"/>
        <v>0</v>
      </c>
      <c r="I21" s="44">
        <f t="shared" si="8"/>
        <v>1484672.6462546496</v>
      </c>
      <c r="J21" s="44">
        <f t="shared" si="4"/>
        <v>1448273.3278550697</v>
      </c>
      <c r="K21" s="44">
        <f t="shared" si="9"/>
        <v>1448273.3278550697</v>
      </c>
      <c r="L21" s="44">
        <f t="shared" si="10"/>
        <v>0</v>
      </c>
      <c r="M21" s="44">
        <f t="shared" si="11"/>
        <v>1448273.3278550697</v>
      </c>
      <c r="N21" s="44">
        <f t="shared" si="5"/>
        <v>1448273.3278550697</v>
      </c>
      <c r="O21" s="44">
        <f t="shared" si="12"/>
        <v>1448273.3278550697</v>
      </c>
      <c r="P21" s="44">
        <f t="shared" si="13"/>
        <v>0</v>
      </c>
      <c r="Q21" s="44">
        <f t="shared" si="14"/>
        <v>1448273.3278550697</v>
      </c>
      <c r="R21" s="44">
        <f t="shared" si="6"/>
        <v>1448273.3278550697</v>
      </c>
      <c r="S21" s="44">
        <f t="shared" si="15"/>
        <v>1448273.3278550697</v>
      </c>
      <c r="T21" s="44">
        <f t="shared" si="16"/>
        <v>0</v>
      </c>
      <c r="U21" s="44">
        <f t="shared" si="17"/>
        <v>1448273.3278550697</v>
      </c>
      <c r="V21" s="44">
        <f t="shared" si="18"/>
        <v>1448273.3278550697</v>
      </c>
      <c r="W21" s="44">
        <f t="shared" si="19"/>
        <v>1448273.3278550697</v>
      </c>
      <c r="X21" s="44">
        <f t="shared" si="20"/>
        <v>1448273.3278550697</v>
      </c>
      <c r="Y21" s="44">
        <f t="shared" si="21"/>
        <v>0</v>
      </c>
    </row>
    <row r="22" spans="1:25" x14ac:dyDescent="0.25">
      <c r="A22" t="s">
        <v>128</v>
      </c>
      <c r="B22" s="16">
        <v>111782</v>
      </c>
      <c r="C22" s="16">
        <v>145774</v>
      </c>
      <c r="D22" s="41">
        <f t="shared" si="0"/>
        <v>145774</v>
      </c>
      <c r="E22" s="42">
        <f t="shared" si="1"/>
        <v>33992</v>
      </c>
      <c r="F22" s="44">
        <f t="shared" si="2"/>
        <v>111782</v>
      </c>
      <c r="G22" s="44">
        <f t="shared" si="3"/>
        <v>135460.97078942938</v>
      </c>
      <c r="H22" s="44">
        <f t="shared" si="7"/>
        <v>0</v>
      </c>
      <c r="I22" s="44">
        <f t="shared" si="8"/>
        <v>135460.97078942938</v>
      </c>
      <c r="J22" s="44">
        <f t="shared" si="4"/>
        <v>132139.91074368855</v>
      </c>
      <c r="K22" s="44">
        <f t="shared" si="9"/>
        <v>132139.91074368855</v>
      </c>
      <c r="L22" s="44">
        <f t="shared" si="10"/>
        <v>0</v>
      </c>
      <c r="M22" s="44">
        <f t="shared" si="11"/>
        <v>132139.91074368855</v>
      </c>
      <c r="N22" s="44">
        <f t="shared" si="5"/>
        <v>132139.91074368855</v>
      </c>
      <c r="O22" s="44">
        <f t="shared" si="12"/>
        <v>132139.91074368855</v>
      </c>
      <c r="P22" s="44">
        <f t="shared" si="13"/>
        <v>0</v>
      </c>
      <c r="Q22" s="44">
        <f t="shared" si="14"/>
        <v>132139.91074368855</v>
      </c>
      <c r="R22" s="44">
        <f t="shared" si="6"/>
        <v>132139.91074368855</v>
      </c>
      <c r="S22" s="44">
        <f t="shared" si="15"/>
        <v>132139.91074368855</v>
      </c>
      <c r="T22" s="44">
        <f t="shared" si="16"/>
        <v>0</v>
      </c>
      <c r="U22" s="44">
        <f t="shared" si="17"/>
        <v>132139.91074368855</v>
      </c>
      <c r="V22" s="44">
        <f t="shared" si="18"/>
        <v>132139.91074368855</v>
      </c>
      <c r="W22" s="44">
        <f t="shared" si="19"/>
        <v>132139.91074368855</v>
      </c>
      <c r="X22" s="44">
        <f t="shared" si="20"/>
        <v>132139.91074368855</v>
      </c>
      <c r="Y22" s="44">
        <f t="shared" si="21"/>
        <v>0</v>
      </c>
    </row>
    <row r="23" spans="1:25" x14ac:dyDescent="0.25">
      <c r="A23" t="s">
        <v>129</v>
      </c>
      <c r="B23" s="16">
        <v>1329996</v>
      </c>
      <c r="C23" s="16">
        <v>1545325</v>
      </c>
      <c r="D23" s="41">
        <f t="shared" si="0"/>
        <v>1545325</v>
      </c>
      <c r="E23" s="42">
        <f t="shared" si="1"/>
        <v>215329</v>
      </c>
      <c r="F23" s="44">
        <f t="shared" si="2"/>
        <v>1329996</v>
      </c>
      <c r="G23" s="44">
        <f t="shared" si="3"/>
        <v>1435998.358316126</v>
      </c>
      <c r="H23" s="44">
        <f t="shared" si="7"/>
        <v>0</v>
      </c>
      <c r="I23" s="44">
        <f t="shared" si="8"/>
        <v>1435998.358316126</v>
      </c>
      <c r="J23" s="44">
        <f t="shared" si="4"/>
        <v>1400792.3742916465</v>
      </c>
      <c r="K23" s="44">
        <f t="shared" si="9"/>
        <v>1400792.3742916465</v>
      </c>
      <c r="L23" s="44">
        <f t="shared" si="10"/>
        <v>0</v>
      </c>
      <c r="M23" s="44">
        <f t="shared" si="11"/>
        <v>1400792.3742916465</v>
      </c>
      <c r="N23" s="44">
        <f t="shared" si="5"/>
        <v>1400792.3742916465</v>
      </c>
      <c r="O23" s="44">
        <f t="shared" si="12"/>
        <v>1400792.3742916465</v>
      </c>
      <c r="P23" s="44">
        <f t="shared" si="13"/>
        <v>0</v>
      </c>
      <c r="Q23" s="44">
        <f t="shared" si="14"/>
        <v>1400792.3742916465</v>
      </c>
      <c r="R23" s="44">
        <f t="shared" si="6"/>
        <v>1400792.3742916465</v>
      </c>
      <c r="S23" s="44">
        <f t="shared" si="15"/>
        <v>1400792.3742916465</v>
      </c>
      <c r="T23" s="44">
        <f t="shared" si="16"/>
        <v>0</v>
      </c>
      <c r="U23" s="44">
        <f t="shared" si="17"/>
        <v>1400792.3742916465</v>
      </c>
      <c r="V23" s="44">
        <f t="shared" si="18"/>
        <v>1400792.3742916465</v>
      </c>
      <c r="W23" s="44">
        <f t="shared" si="19"/>
        <v>1400792.3742916465</v>
      </c>
      <c r="X23" s="44">
        <f t="shared" si="20"/>
        <v>1400792.3742916465</v>
      </c>
      <c r="Y23" s="44">
        <f t="shared" si="21"/>
        <v>0</v>
      </c>
    </row>
    <row r="24" spans="1:25" x14ac:dyDescent="0.25">
      <c r="A24" t="s">
        <v>130</v>
      </c>
      <c r="B24" s="16">
        <v>154899</v>
      </c>
      <c r="C24" s="16">
        <v>184792</v>
      </c>
      <c r="D24" s="41">
        <f t="shared" si="0"/>
        <v>184792</v>
      </c>
      <c r="E24" s="42">
        <f t="shared" si="1"/>
        <v>29893</v>
      </c>
      <c r="F24" s="44">
        <f t="shared" si="2"/>
        <v>154899</v>
      </c>
      <c r="G24" s="44">
        <f t="shared" si="3"/>
        <v>171718.5761117911</v>
      </c>
      <c r="H24" s="44">
        <f t="shared" si="7"/>
        <v>0</v>
      </c>
      <c r="I24" s="44">
        <f t="shared" si="8"/>
        <v>171718.5761117911</v>
      </c>
      <c r="J24" s="44">
        <f t="shared" si="4"/>
        <v>167508.59814608705</v>
      </c>
      <c r="K24" s="44">
        <f t="shared" si="9"/>
        <v>167508.59814608705</v>
      </c>
      <c r="L24" s="44">
        <f t="shared" si="10"/>
        <v>0</v>
      </c>
      <c r="M24" s="44">
        <f t="shared" si="11"/>
        <v>167508.59814608705</v>
      </c>
      <c r="N24" s="44">
        <f t="shared" si="5"/>
        <v>167508.59814608705</v>
      </c>
      <c r="O24" s="44">
        <f t="shared" si="12"/>
        <v>167508.59814608705</v>
      </c>
      <c r="P24" s="44">
        <f t="shared" si="13"/>
        <v>0</v>
      </c>
      <c r="Q24" s="44">
        <f t="shared" si="14"/>
        <v>167508.59814608705</v>
      </c>
      <c r="R24" s="44">
        <f t="shared" si="6"/>
        <v>167508.59814608705</v>
      </c>
      <c r="S24" s="44">
        <f t="shared" si="15"/>
        <v>167508.59814608705</v>
      </c>
      <c r="T24" s="44">
        <f t="shared" si="16"/>
        <v>0</v>
      </c>
      <c r="U24" s="44">
        <f t="shared" si="17"/>
        <v>167508.59814608705</v>
      </c>
      <c r="V24" s="44">
        <f t="shared" si="18"/>
        <v>167508.59814608705</v>
      </c>
      <c r="W24" s="44">
        <f t="shared" si="19"/>
        <v>167508.59814608705</v>
      </c>
      <c r="X24" s="44">
        <f t="shared" si="20"/>
        <v>167508.59814608705</v>
      </c>
      <c r="Y24" s="44">
        <f t="shared" si="21"/>
        <v>0</v>
      </c>
    </row>
    <row r="25" spans="1:25" x14ac:dyDescent="0.25">
      <c r="A25" t="s">
        <v>131</v>
      </c>
      <c r="B25" s="16">
        <v>35792</v>
      </c>
      <c r="C25" s="16">
        <v>32539</v>
      </c>
      <c r="D25" s="41">
        <f t="shared" si="0"/>
        <v>0</v>
      </c>
      <c r="E25" s="42">
        <f t="shared" si="1"/>
        <v>0</v>
      </c>
      <c r="F25" s="44">
        <f t="shared" si="2"/>
        <v>0</v>
      </c>
      <c r="G25" s="44">
        <f t="shared" si="3"/>
        <v>0</v>
      </c>
      <c r="H25" s="44">
        <f t="shared" si="7"/>
        <v>0</v>
      </c>
      <c r="I25" s="44">
        <f t="shared" si="8"/>
        <v>0</v>
      </c>
      <c r="J25" s="44">
        <f t="shared" si="4"/>
        <v>0</v>
      </c>
      <c r="K25" s="44">
        <f t="shared" si="9"/>
        <v>0</v>
      </c>
      <c r="L25" s="44">
        <f t="shared" si="10"/>
        <v>0</v>
      </c>
      <c r="M25" s="44">
        <f t="shared" si="11"/>
        <v>0</v>
      </c>
      <c r="N25" s="44">
        <f t="shared" si="5"/>
        <v>0</v>
      </c>
      <c r="O25" s="44">
        <f t="shared" si="12"/>
        <v>0</v>
      </c>
      <c r="P25" s="44">
        <f t="shared" si="13"/>
        <v>0</v>
      </c>
      <c r="Q25" s="44">
        <f t="shared" si="14"/>
        <v>0</v>
      </c>
      <c r="R25" s="44">
        <f t="shared" si="6"/>
        <v>0</v>
      </c>
      <c r="S25" s="44">
        <f t="shared" si="15"/>
        <v>0</v>
      </c>
      <c r="T25" s="44">
        <f t="shared" si="16"/>
        <v>0</v>
      </c>
      <c r="U25" s="44">
        <f t="shared" si="17"/>
        <v>0</v>
      </c>
      <c r="V25" s="44">
        <f t="shared" si="18"/>
        <v>0</v>
      </c>
      <c r="W25" s="44">
        <f t="shared" si="19"/>
        <v>0</v>
      </c>
      <c r="X25" s="44">
        <f t="shared" si="20"/>
        <v>32539</v>
      </c>
      <c r="Y25" s="44">
        <f t="shared" si="21"/>
        <v>0</v>
      </c>
    </row>
    <row r="26" spans="1:25" x14ac:dyDescent="0.25">
      <c r="A26" t="s">
        <v>132</v>
      </c>
      <c r="B26" s="16">
        <v>45406969</v>
      </c>
      <c r="C26" s="16">
        <v>47608033</v>
      </c>
      <c r="D26" s="41">
        <f t="shared" si="0"/>
        <v>47608033</v>
      </c>
      <c r="E26" s="42">
        <f t="shared" si="1"/>
        <v>2201064</v>
      </c>
      <c r="F26" s="44">
        <f t="shared" si="2"/>
        <v>45406969</v>
      </c>
      <c r="G26" s="44">
        <f t="shared" si="3"/>
        <v>44239921.848581985</v>
      </c>
      <c r="H26" s="44">
        <f t="shared" si="7"/>
        <v>45406969</v>
      </c>
      <c r="I26" s="44">
        <f t="shared" si="8"/>
        <v>0</v>
      </c>
      <c r="J26" s="44">
        <f t="shared" si="4"/>
        <v>0</v>
      </c>
      <c r="K26" s="44">
        <f t="shared" si="9"/>
        <v>45406969</v>
      </c>
      <c r="L26" s="44">
        <f t="shared" si="10"/>
        <v>0</v>
      </c>
      <c r="M26" s="44">
        <f t="shared" si="11"/>
        <v>0</v>
      </c>
      <c r="N26" s="44">
        <f t="shared" si="5"/>
        <v>0</v>
      </c>
      <c r="O26" s="44">
        <f t="shared" si="12"/>
        <v>45406969</v>
      </c>
      <c r="P26" s="44">
        <f t="shared" si="13"/>
        <v>0</v>
      </c>
      <c r="Q26" s="44">
        <f t="shared" si="14"/>
        <v>0</v>
      </c>
      <c r="R26" s="44">
        <f t="shared" si="6"/>
        <v>0</v>
      </c>
      <c r="S26" s="44">
        <f t="shared" si="15"/>
        <v>45406969</v>
      </c>
      <c r="T26" s="44">
        <f t="shared" si="16"/>
        <v>0</v>
      </c>
      <c r="U26" s="44">
        <f t="shared" si="17"/>
        <v>0</v>
      </c>
      <c r="V26" s="44">
        <f t="shared" si="18"/>
        <v>0</v>
      </c>
      <c r="W26" s="44">
        <f t="shared" si="19"/>
        <v>45406969</v>
      </c>
      <c r="X26" s="44">
        <f t="shared" si="20"/>
        <v>45406969</v>
      </c>
      <c r="Y26" s="44">
        <f t="shared" si="21"/>
        <v>0</v>
      </c>
    </row>
    <row r="27" spans="1:25" x14ac:dyDescent="0.25">
      <c r="A27" t="s">
        <v>133</v>
      </c>
      <c r="B27" s="16">
        <v>167799</v>
      </c>
      <c r="C27" s="16">
        <v>168917</v>
      </c>
      <c r="D27" s="41">
        <f t="shared" si="0"/>
        <v>168917</v>
      </c>
      <c r="E27" s="42">
        <f t="shared" si="1"/>
        <v>1118</v>
      </c>
      <c r="F27" s="44">
        <f t="shared" si="2"/>
        <v>167799</v>
      </c>
      <c r="G27" s="44">
        <f t="shared" si="3"/>
        <v>156966.67994867428</v>
      </c>
      <c r="H27" s="44">
        <f t="shared" si="7"/>
        <v>167799</v>
      </c>
      <c r="I27" s="44">
        <f t="shared" si="8"/>
        <v>0</v>
      </c>
      <c r="J27" s="44">
        <f t="shared" si="4"/>
        <v>0</v>
      </c>
      <c r="K27" s="44">
        <f t="shared" si="9"/>
        <v>167799</v>
      </c>
      <c r="L27" s="44">
        <f t="shared" si="10"/>
        <v>0</v>
      </c>
      <c r="M27" s="44">
        <f t="shared" si="11"/>
        <v>0</v>
      </c>
      <c r="N27" s="44">
        <f t="shared" si="5"/>
        <v>0</v>
      </c>
      <c r="O27" s="44">
        <f t="shared" si="12"/>
        <v>167799</v>
      </c>
      <c r="P27" s="44">
        <f t="shared" si="13"/>
        <v>0</v>
      </c>
      <c r="Q27" s="44">
        <f t="shared" si="14"/>
        <v>0</v>
      </c>
      <c r="R27" s="44">
        <f t="shared" si="6"/>
        <v>0</v>
      </c>
      <c r="S27" s="44">
        <f t="shared" si="15"/>
        <v>167799</v>
      </c>
      <c r="T27" s="44">
        <f t="shared" si="16"/>
        <v>0</v>
      </c>
      <c r="U27" s="44">
        <f t="shared" si="17"/>
        <v>0</v>
      </c>
      <c r="V27" s="44">
        <f t="shared" si="18"/>
        <v>0</v>
      </c>
      <c r="W27" s="44">
        <f t="shared" si="19"/>
        <v>167799</v>
      </c>
      <c r="X27" s="44">
        <f t="shared" si="20"/>
        <v>167799</v>
      </c>
      <c r="Y27" s="44">
        <f t="shared" si="21"/>
        <v>0</v>
      </c>
    </row>
    <row r="28" spans="1:25" x14ac:dyDescent="0.25">
      <c r="A28" t="s">
        <v>59</v>
      </c>
      <c r="B28" s="16">
        <v>908172</v>
      </c>
      <c r="C28" s="16">
        <v>870824</v>
      </c>
      <c r="D28" s="41">
        <f t="shared" si="0"/>
        <v>0</v>
      </c>
      <c r="E28" s="42">
        <f t="shared" si="1"/>
        <v>0</v>
      </c>
      <c r="F28" s="44">
        <f t="shared" si="2"/>
        <v>0</v>
      </c>
      <c r="G28" s="44">
        <f t="shared" si="3"/>
        <v>0</v>
      </c>
      <c r="H28" s="44">
        <f t="shared" si="7"/>
        <v>0</v>
      </c>
      <c r="I28" s="44">
        <f t="shared" si="8"/>
        <v>0</v>
      </c>
      <c r="J28" s="44">
        <f t="shared" si="4"/>
        <v>0</v>
      </c>
      <c r="K28" s="44">
        <f t="shared" si="9"/>
        <v>0</v>
      </c>
      <c r="L28" s="44">
        <f t="shared" si="10"/>
        <v>0</v>
      </c>
      <c r="M28" s="44">
        <f t="shared" si="11"/>
        <v>0</v>
      </c>
      <c r="N28" s="44">
        <f t="shared" si="5"/>
        <v>0</v>
      </c>
      <c r="O28" s="44">
        <f t="shared" si="12"/>
        <v>0</v>
      </c>
      <c r="P28" s="44">
        <f t="shared" si="13"/>
        <v>0</v>
      </c>
      <c r="Q28" s="44">
        <f t="shared" si="14"/>
        <v>0</v>
      </c>
      <c r="R28" s="44">
        <f t="shared" si="6"/>
        <v>0</v>
      </c>
      <c r="S28" s="44">
        <f t="shared" si="15"/>
        <v>0</v>
      </c>
      <c r="T28" s="44">
        <f t="shared" si="16"/>
        <v>0</v>
      </c>
      <c r="U28" s="44">
        <f t="shared" si="17"/>
        <v>0</v>
      </c>
      <c r="V28" s="44">
        <f t="shared" si="18"/>
        <v>0</v>
      </c>
      <c r="W28" s="44">
        <f t="shared" si="19"/>
        <v>0</v>
      </c>
      <c r="X28" s="44">
        <f t="shared" si="20"/>
        <v>870824</v>
      </c>
      <c r="Y28" s="44">
        <f t="shared" si="21"/>
        <v>0</v>
      </c>
    </row>
    <row r="29" spans="1:25" s="35" customFormat="1" x14ac:dyDescent="0.25">
      <c r="A29" s="40" t="s">
        <v>134</v>
      </c>
      <c r="B29" s="44">
        <v>2305580</v>
      </c>
      <c r="C29" s="44">
        <v>2309009</v>
      </c>
      <c r="D29" s="41">
        <f t="shared" si="0"/>
        <v>2309009</v>
      </c>
      <c r="E29" s="42">
        <f t="shared" si="1"/>
        <v>3429</v>
      </c>
      <c r="F29" s="44">
        <f t="shared" si="2"/>
        <v>2305580</v>
      </c>
      <c r="G29" s="44">
        <f t="shared" si="3"/>
        <v>2145654.236705651</v>
      </c>
      <c r="H29" s="44">
        <f t="shared" si="7"/>
        <v>2305580</v>
      </c>
      <c r="I29" s="44">
        <f t="shared" si="8"/>
        <v>0</v>
      </c>
      <c r="J29" s="44">
        <f t="shared" si="4"/>
        <v>0</v>
      </c>
      <c r="K29" s="44">
        <f t="shared" si="9"/>
        <v>2305580</v>
      </c>
      <c r="L29" s="44">
        <f t="shared" si="10"/>
        <v>0</v>
      </c>
      <c r="M29" s="44">
        <f t="shared" si="11"/>
        <v>0</v>
      </c>
      <c r="N29" s="44">
        <f t="shared" si="5"/>
        <v>0</v>
      </c>
      <c r="O29" s="44">
        <f t="shared" si="12"/>
        <v>2305580</v>
      </c>
      <c r="P29" s="44">
        <f t="shared" si="13"/>
        <v>0</v>
      </c>
      <c r="Q29" s="44">
        <f t="shared" si="14"/>
        <v>0</v>
      </c>
      <c r="R29" s="44">
        <f t="shared" si="6"/>
        <v>0</v>
      </c>
      <c r="S29" s="44">
        <f t="shared" si="15"/>
        <v>2305580</v>
      </c>
      <c r="T29" s="44">
        <f t="shared" si="16"/>
        <v>0</v>
      </c>
      <c r="U29" s="44">
        <f t="shared" si="17"/>
        <v>0</v>
      </c>
      <c r="V29" s="44">
        <f t="shared" si="18"/>
        <v>0</v>
      </c>
      <c r="W29" s="44">
        <f t="shared" si="19"/>
        <v>2305580</v>
      </c>
      <c r="X29" s="44">
        <f t="shared" si="20"/>
        <v>2305580</v>
      </c>
      <c r="Y29" s="44">
        <f t="shared" si="21"/>
        <v>0</v>
      </c>
    </row>
    <row r="30" spans="1:25" x14ac:dyDescent="0.25">
      <c r="A30" s="32" t="s">
        <v>65</v>
      </c>
      <c r="B30" s="43">
        <f t="shared" ref="B30:Y30" si="22">SUM(B11:B29)</f>
        <v>110000000</v>
      </c>
      <c r="C30" s="43">
        <f t="shared" si="22"/>
        <v>120000000</v>
      </c>
      <c r="D30" s="43">
        <f t="shared" si="22"/>
        <v>118733456</v>
      </c>
      <c r="E30" s="43">
        <f t="shared" si="22"/>
        <v>10047649</v>
      </c>
      <c r="F30" s="43">
        <f t="shared" si="22"/>
        <v>108685807</v>
      </c>
      <c r="G30" s="43">
        <f t="shared" si="22"/>
        <v>110333456</v>
      </c>
      <c r="H30" s="43">
        <f t="shared" si="22"/>
        <v>51463660</v>
      </c>
      <c r="I30" s="43">
        <f t="shared" si="22"/>
        <v>60349365.089279503</v>
      </c>
      <c r="J30" s="43">
        <f t="shared" si="22"/>
        <v>58869796</v>
      </c>
      <c r="K30" s="43">
        <f t="shared" si="22"/>
        <v>110333456</v>
      </c>
      <c r="L30" s="43">
        <f t="shared" si="22"/>
        <v>0</v>
      </c>
      <c r="M30" s="43">
        <f t="shared" si="22"/>
        <v>58869796</v>
      </c>
      <c r="N30" s="43">
        <f t="shared" si="22"/>
        <v>58869796</v>
      </c>
      <c r="O30" s="43">
        <f t="shared" si="22"/>
        <v>110333456</v>
      </c>
      <c r="P30" s="43">
        <f t="shared" si="22"/>
        <v>0</v>
      </c>
      <c r="Q30" s="43">
        <f t="shared" si="22"/>
        <v>58869796</v>
      </c>
      <c r="R30" s="43">
        <f t="shared" si="22"/>
        <v>58869796</v>
      </c>
      <c r="S30" s="43">
        <f t="shared" si="22"/>
        <v>110333456</v>
      </c>
      <c r="T30" s="43">
        <f t="shared" si="22"/>
        <v>0</v>
      </c>
      <c r="U30" s="43">
        <f t="shared" si="22"/>
        <v>58869796</v>
      </c>
      <c r="V30" s="43">
        <f t="shared" si="22"/>
        <v>58869796</v>
      </c>
      <c r="W30" s="43">
        <f t="shared" si="22"/>
        <v>110333456</v>
      </c>
      <c r="X30" s="43">
        <f t="shared" si="22"/>
        <v>111600000</v>
      </c>
      <c r="Y30" s="43">
        <f t="shared" si="22"/>
        <v>0</v>
      </c>
    </row>
    <row r="31" spans="1:25" x14ac:dyDescent="0.25">
      <c r="B31" s="16"/>
      <c r="C31" s="16"/>
    </row>
    <row r="34" spans="2:2" x14ac:dyDescent="0.25">
      <c r="B34" s="28"/>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4"/>
  <sheetViews>
    <sheetView workbookViewId="0"/>
  </sheetViews>
  <sheetFormatPr defaultRowHeight="15" x14ac:dyDescent="0.25"/>
  <cols>
    <col min="1" max="1" width="31.28515625" bestFit="1" customWidth="1"/>
    <col min="2" max="2" width="15.5703125" customWidth="1"/>
    <col min="3" max="3" width="22.42578125" customWidth="1"/>
    <col min="4" max="4" width="18" customWidth="1"/>
    <col min="5" max="5" width="16.7109375" customWidth="1"/>
    <col min="6" max="6" width="12.7109375" customWidth="1"/>
    <col min="7" max="7" width="11.5703125" bestFit="1" customWidth="1"/>
    <col min="8" max="8" width="16.42578125" customWidth="1"/>
    <col min="9" max="11" width="11.5703125" bestFit="1" customWidth="1"/>
    <col min="12" max="12" width="14.5703125" customWidth="1"/>
    <col min="13" max="15" width="11.5703125" bestFit="1" customWidth="1"/>
    <col min="16" max="16" width="15.85546875" customWidth="1"/>
    <col min="17" max="19" width="11.5703125" bestFit="1" customWidth="1"/>
    <col min="20" max="20" width="13.85546875" customWidth="1"/>
    <col min="21" max="21" width="14.5703125" customWidth="1"/>
    <col min="22" max="22" width="15.140625" customWidth="1"/>
    <col min="23" max="23" width="11.140625" bestFit="1" customWidth="1"/>
    <col min="24" max="24" width="14.28515625" customWidth="1"/>
    <col min="25" max="25" width="14.5703125" customWidth="1"/>
    <col min="29" max="29" width="14.42578125" bestFit="1" customWidth="1"/>
  </cols>
  <sheetData>
    <row r="1" spans="1:29" ht="15.75" x14ac:dyDescent="0.25">
      <c r="A1" s="62" t="s">
        <v>159</v>
      </c>
      <c r="E1" s="56"/>
      <c r="F1" s="57"/>
      <c r="G1" s="57"/>
      <c r="H1" s="57"/>
      <c r="I1" s="57"/>
      <c r="J1" s="57"/>
      <c r="K1" s="57"/>
      <c r="L1" s="57"/>
      <c r="M1" s="57"/>
      <c r="N1" s="57"/>
      <c r="O1" s="57"/>
      <c r="P1" s="57"/>
      <c r="Q1" s="44"/>
      <c r="R1" s="44"/>
      <c r="S1" s="44"/>
      <c r="T1" s="44"/>
      <c r="U1" s="44"/>
      <c r="V1" s="40"/>
    </row>
    <row r="2" spans="1:29" x14ac:dyDescent="0.25">
      <c r="A2" s="63" t="s">
        <v>137</v>
      </c>
      <c r="E2" s="56"/>
      <c r="F2" s="57"/>
      <c r="G2" s="57"/>
      <c r="H2" s="57"/>
      <c r="I2" s="57"/>
      <c r="J2" s="57"/>
      <c r="K2" s="57"/>
      <c r="L2" s="57"/>
      <c r="M2" s="57"/>
      <c r="N2" s="57"/>
      <c r="O2" s="57"/>
      <c r="P2" s="57"/>
      <c r="Q2" s="44"/>
      <c r="R2" s="44"/>
      <c r="S2" s="44"/>
      <c r="T2" s="44"/>
      <c r="U2" s="44"/>
      <c r="V2" s="40"/>
    </row>
    <row r="3" spans="1:29" ht="15.75" x14ac:dyDescent="0.25">
      <c r="A3" s="64" t="s">
        <v>138</v>
      </c>
      <c r="E3" s="56"/>
      <c r="F3" s="57"/>
      <c r="G3" s="57"/>
      <c r="H3" s="57"/>
      <c r="I3" s="57"/>
      <c r="J3" s="57"/>
      <c r="K3" s="57"/>
      <c r="L3" s="57"/>
      <c r="M3" s="57"/>
      <c r="N3" s="57"/>
      <c r="O3" s="57"/>
      <c r="P3" s="57"/>
      <c r="Q3" s="44"/>
      <c r="R3" s="44"/>
      <c r="S3" s="44"/>
      <c r="T3" s="44"/>
      <c r="U3" s="44"/>
      <c r="V3" s="40"/>
    </row>
    <row r="4" spans="1:29" x14ac:dyDescent="0.25">
      <c r="A4" s="58" t="s">
        <v>114</v>
      </c>
      <c r="B4" s="60">
        <v>120000000</v>
      </c>
      <c r="F4" s="44"/>
      <c r="G4" s="44"/>
      <c r="H4" s="44"/>
      <c r="I4" s="44"/>
      <c r="J4" s="44"/>
      <c r="K4" s="44"/>
      <c r="L4" s="44"/>
      <c r="M4" s="44"/>
      <c r="N4" s="44"/>
      <c r="O4" s="44"/>
      <c r="P4" s="44"/>
      <c r="Q4" s="44"/>
      <c r="R4" s="44"/>
      <c r="S4" s="44"/>
      <c r="T4" s="44"/>
      <c r="U4" s="45"/>
      <c r="V4" s="47"/>
      <c r="AA4" s="16"/>
      <c r="AC4" s="45"/>
    </row>
    <row r="5" spans="1:29" x14ac:dyDescent="0.25">
      <c r="A5" s="58" t="s">
        <v>116</v>
      </c>
      <c r="B5" s="61">
        <f>ROUND(B4*0.07,0)</f>
        <v>8400000</v>
      </c>
      <c r="F5" s="44"/>
      <c r="G5" s="44"/>
      <c r="H5" s="44"/>
      <c r="I5" s="44"/>
      <c r="J5" s="44"/>
      <c r="K5" s="44"/>
      <c r="L5" s="44"/>
      <c r="M5" s="44"/>
      <c r="N5" s="44"/>
      <c r="O5" s="44"/>
      <c r="P5" s="44"/>
      <c r="Q5" s="44"/>
      <c r="R5" s="44"/>
      <c r="S5" s="44"/>
      <c r="T5" s="44"/>
      <c r="U5" s="45"/>
      <c r="V5" s="48"/>
      <c r="AC5" s="49"/>
    </row>
    <row r="6" spans="1:29" ht="45" x14ac:dyDescent="0.25">
      <c r="A6" s="59" t="s">
        <v>115</v>
      </c>
      <c r="B6" s="61">
        <v>11000000</v>
      </c>
      <c r="F6" s="44"/>
      <c r="G6" s="44"/>
      <c r="H6" s="44"/>
      <c r="I6" s="44"/>
      <c r="J6" s="44"/>
      <c r="K6" s="44"/>
      <c r="L6" s="44"/>
      <c r="M6" s="44"/>
      <c r="N6" s="44"/>
      <c r="O6" s="44"/>
      <c r="P6" s="44"/>
      <c r="Q6" s="44"/>
      <c r="R6" s="44"/>
      <c r="S6" s="44"/>
      <c r="T6" s="44"/>
      <c r="U6" s="45"/>
      <c r="V6" s="48"/>
      <c r="AC6" s="49"/>
    </row>
    <row r="7" spans="1:29" ht="90" x14ac:dyDescent="0.25">
      <c r="A7" s="59" t="s">
        <v>140</v>
      </c>
      <c r="B7" s="61">
        <f>MAX(B5:B6)</f>
        <v>11000000</v>
      </c>
      <c r="F7" s="44"/>
      <c r="G7" s="65" t="s">
        <v>150</v>
      </c>
      <c r="H7" s="44"/>
      <c r="I7" s="44"/>
      <c r="J7" s="65" t="s">
        <v>146</v>
      </c>
      <c r="K7" s="44"/>
      <c r="L7" s="44"/>
      <c r="M7" s="44"/>
      <c r="N7" s="65" t="s">
        <v>147</v>
      </c>
      <c r="O7" s="44"/>
      <c r="P7" s="44"/>
      <c r="Q7" s="44"/>
      <c r="R7" s="65" t="s">
        <v>148</v>
      </c>
      <c r="S7" s="44"/>
      <c r="T7" s="44"/>
      <c r="U7" s="45"/>
      <c r="V7" s="68" t="s">
        <v>149</v>
      </c>
      <c r="Y7" s="71" t="s">
        <v>139</v>
      </c>
      <c r="AC7" s="49"/>
    </row>
    <row r="8" spans="1:29" ht="60" x14ac:dyDescent="0.25">
      <c r="A8" s="59" t="s">
        <v>157</v>
      </c>
      <c r="B8" s="60">
        <f>MIN(B7,E30)</f>
        <v>10047649</v>
      </c>
      <c r="F8" s="44"/>
      <c r="G8" s="66">
        <f>D30-B8</f>
        <v>108685807</v>
      </c>
      <c r="H8" s="44"/>
      <c r="I8" s="44"/>
      <c r="J8" s="66">
        <f>$G30-$H30</f>
        <v>57222147</v>
      </c>
      <c r="K8" s="44"/>
      <c r="L8" s="44"/>
      <c r="M8" s="44"/>
      <c r="N8" s="66">
        <f>$G30-$H30-$L30</f>
        <v>1596677</v>
      </c>
      <c r="O8" s="44"/>
      <c r="P8" s="44"/>
      <c r="Q8" s="44"/>
      <c r="R8" s="66">
        <f>$G30-$H30-$L30-$P30</f>
        <v>266681</v>
      </c>
      <c r="S8" s="44"/>
      <c r="T8" s="44"/>
      <c r="U8" s="44"/>
      <c r="V8" s="69">
        <f>$G30-$H30-$L30-$P30-T$30</f>
        <v>111782</v>
      </c>
      <c r="X8" s="55"/>
      <c r="Y8" s="72">
        <f>B4-B8-X30</f>
        <v>0</v>
      </c>
    </row>
    <row r="9" spans="1:29" x14ac:dyDescent="0.25">
      <c r="F9" s="44"/>
      <c r="G9" s="44"/>
      <c r="H9" s="44"/>
      <c r="I9" s="44"/>
      <c r="J9" s="44"/>
      <c r="K9" s="44"/>
      <c r="L9" s="44"/>
      <c r="M9" s="44"/>
      <c r="N9" s="44"/>
      <c r="O9" s="44"/>
      <c r="P9" s="44"/>
      <c r="Q9" s="44"/>
      <c r="R9" s="44"/>
      <c r="S9" s="44"/>
      <c r="T9" s="44"/>
      <c r="U9" s="44"/>
      <c r="X9" s="55"/>
    </row>
    <row r="10" spans="1:29" s="36" customFormat="1" ht="120" x14ac:dyDescent="0.25">
      <c r="A10" s="32" t="s">
        <v>60</v>
      </c>
      <c r="B10" s="46" t="s">
        <v>135</v>
      </c>
      <c r="C10" s="33" t="s">
        <v>144</v>
      </c>
      <c r="D10" s="33" t="s">
        <v>106</v>
      </c>
      <c r="E10" s="33" t="s">
        <v>145</v>
      </c>
      <c r="F10" s="46" t="s">
        <v>143</v>
      </c>
      <c r="G10" s="46" t="s">
        <v>155</v>
      </c>
      <c r="H10" s="46" t="s">
        <v>156</v>
      </c>
      <c r="I10" s="46" t="s">
        <v>107</v>
      </c>
      <c r="J10" s="46" t="s">
        <v>141</v>
      </c>
      <c r="K10" s="46" t="s">
        <v>142</v>
      </c>
      <c r="L10" s="46" t="s">
        <v>151</v>
      </c>
      <c r="M10" s="46" t="s">
        <v>107</v>
      </c>
      <c r="N10" s="46" t="s">
        <v>141</v>
      </c>
      <c r="O10" s="46" t="s">
        <v>142</v>
      </c>
      <c r="P10" s="46" t="s">
        <v>152</v>
      </c>
      <c r="Q10" s="46" t="s">
        <v>107</v>
      </c>
      <c r="R10" s="46" t="s">
        <v>141</v>
      </c>
      <c r="S10" s="46" t="s">
        <v>142</v>
      </c>
      <c r="T10" s="46" t="s">
        <v>153</v>
      </c>
      <c r="U10" s="46" t="s">
        <v>107</v>
      </c>
      <c r="V10" s="46" t="s">
        <v>141</v>
      </c>
      <c r="W10" s="46" t="s">
        <v>142</v>
      </c>
      <c r="X10" s="46" t="s">
        <v>108</v>
      </c>
      <c r="Y10" s="46" t="s">
        <v>154</v>
      </c>
    </row>
    <row r="11" spans="1:29" x14ac:dyDescent="0.25">
      <c r="A11" t="s">
        <v>117</v>
      </c>
      <c r="B11" s="16">
        <v>1356434</v>
      </c>
      <c r="C11" s="16">
        <v>1370345</v>
      </c>
      <c r="D11" s="41">
        <f t="shared" ref="D11:D29" si="0">IF(C11&lt;B11,0,C11)</f>
        <v>1370345</v>
      </c>
      <c r="E11" s="42">
        <f t="shared" ref="E11:E29" si="1">IF(D11&gt;0,(C11-B11),0)</f>
        <v>13911</v>
      </c>
      <c r="F11" s="44">
        <f t="shared" ref="F11:F29" si="2">IF(D11&gt;0,B11,0)</f>
        <v>1356434</v>
      </c>
      <c r="G11" s="44">
        <f t="shared" ref="G11:G29" si="3">(D11/$D$30)*$G$8</f>
        <v>1254381.513104571</v>
      </c>
      <c r="H11" s="44">
        <f>IF(G11&lt;F11,F11,0)</f>
        <v>1356434</v>
      </c>
      <c r="I11" s="44">
        <f>IF($H11=0,G11,0)</f>
        <v>0</v>
      </c>
      <c r="J11" s="44">
        <f t="shared" ref="J11:J29" si="4">(I11/$I$30)*$J$8</f>
        <v>0</v>
      </c>
      <c r="K11" s="44">
        <f>$H11+J11</f>
        <v>1356434</v>
      </c>
      <c r="L11" s="44">
        <f>IF(K11&lt;$F11,$F11,0)</f>
        <v>0</v>
      </c>
      <c r="M11" s="44">
        <f>IF($H11+$L11=0,K11,0)</f>
        <v>0</v>
      </c>
      <c r="N11" s="44">
        <f t="shared" ref="N11:N29" si="5">(M11/$M$30)*$N$8</f>
        <v>0</v>
      </c>
      <c r="O11" s="44">
        <f>$H11+$L11+N11</f>
        <v>1356434</v>
      </c>
      <c r="P11" s="44">
        <f>IF(O11&lt;$F11,$F11,0)</f>
        <v>0</v>
      </c>
      <c r="Q11" s="44">
        <f>IF($H11+$L11+$P11=0,O11,0)</f>
        <v>0</v>
      </c>
      <c r="R11" s="44">
        <f t="shared" ref="R11:R29" si="6">(Q11/$Q$30)*$R$8</f>
        <v>0</v>
      </c>
      <c r="S11" s="44">
        <f>$H11+$L11+$P11+R11</f>
        <v>1356434</v>
      </c>
      <c r="T11" s="44">
        <f>IF(S11&lt;$F11,$F11,0)</f>
        <v>0</v>
      </c>
      <c r="U11" s="44">
        <f>IF($H11+$L11+$P11+$T11=0,S11,0)</f>
        <v>0</v>
      </c>
      <c r="V11" s="44">
        <f>(U11/$U$30)*$V$8</f>
        <v>0</v>
      </c>
      <c r="W11" s="44">
        <f>$H11+$L11+$P11+$T11+V11</f>
        <v>1356434</v>
      </c>
      <c r="X11" s="44">
        <f>IF($B$8&lt;$B$7,(C11-E11),(IF(W11=0,C11,W11)))</f>
        <v>1356434</v>
      </c>
      <c r="Y11" s="44">
        <f>IF(X11&lt;$F11,$F11,0)</f>
        <v>0</v>
      </c>
    </row>
    <row r="12" spans="1:29" x14ac:dyDescent="0.25">
      <c r="A12" t="s">
        <v>118</v>
      </c>
      <c r="B12" s="16">
        <v>613334</v>
      </c>
      <c r="C12" s="16">
        <v>630193</v>
      </c>
      <c r="D12" s="41">
        <f t="shared" si="0"/>
        <v>630193</v>
      </c>
      <c r="E12" s="42">
        <f t="shared" si="1"/>
        <v>16859</v>
      </c>
      <c r="F12" s="44">
        <f t="shared" si="2"/>
        <v>613334</v>
      </c>
      <c r="G12" s="44">
        <f t="shared" si="3"/>
        <v>576863.81815375609</v>
      </c>
      <c r="H12" s="44">
        <f t="shared" ref="H12:H29" si="7">IF(G12&lt;F12,F12,0)</f>
        <v>613334</v>
      </c>
      <c r="I12" s="44">
        <f t="shared" ref="I12:I29" si="8">IF($H12=0,G12,0)</f>
        <v>0</v>
      </c>
      <c r="J12" s="44">
        <f t="shared" si="4"/>
        <v>0</v>
      </c>
      <c r="K12" s="44">
        <f t="shared" ref="K12:K29" si="9">$H12+J12</f>
        <v>613334</v>
      </c>
      <c r="L12" s="44">
        <f t="shared" ref="L12:L29" si="10">IF(K12&lt;$F12,$F12,0)</f>
        <v>0</v>
      </c>
      <c r="M12" s="44">
        <f t="shared" ref="M12:M29" si="11">IF($H12+$L12=0,K12,0)</f>
        <v>0</v>
      </c>
      <c r="N12" s="44">
        <f t="shared" si="5"/>
        <v>0</v>
      </c>
      <c r="O12" s="44">
        <f t="shared" ref="O12:O29" si="12">$H12+$L12+N12</f>
        <v>613334</v>
      </c>
      <c r="P12" s="44">
        <f t="shared" ref="P12:P29" si="13">IF(O12&lt;$F12,$F12,0)</f>
        <v>0</v>
      </c>
      <c r="Q12" s="44">
        <f t="shared" ref="Q12:Q29" si="14">IF($H12+$L12+$P12=0,O12,0)</f>
        <v>0</v>
      </c>
      <c r="R12" s="44">
        <f t="shared" si="6"/>
        <v>0</v>
      </c>
      <c r="S12" s="44">
        <f t="shared" ref="S12:S29" si="15">$H12+$L12+$P12+R12</f>
        <v>613334</v>
      </c>
      <c r="T12" s="44">
        <f t="shared" ref="T12:T29" si="16">IF(S12&lt;$F12,$F12,0)</f>
        <v>0</v>
      </c>
      <c r="U12" s="44">
        <f t="shared" ref="U12:U29" si="17">IF($H12+$L12+$P12+$T12=0,S12,0)</f>
        <v>0</v>
      </c>
      <c r="V12" s="44">
        <f t="shared" ref="V12:V29" si="18">(U12/$U$30)*$V$8</f>
        <v>0</v>
      </c>
      <c r="W12" s="44">
        <f t="shared" ref="W12:W29" si="19">$H12+$L12+$P12+$T12+V12</f>
        <v>613334</v>
      </c>
      <c r="X12" s="44">
        <f t="shared" ref="X12:X29" si="20">IF($B$8&lt;$B$7,(C12-E12),(IF(W12=0,C12,W12)))</f>
        <v>613334</v>
      </c>
      <c r="Y12" s="44">
        <f t="shared" ref="Y12:Y29" si="21">IF(X12&lt;$F12,$F12,0)</f>
        <v>0</v>
      </c>
    </row>
    <row r="13" spans="1:29" x14ac:dyDescent="0.25">
      <c r="A13" t="s">
        <v>119</v>
      </c>
      <c r="B13" s="16">
        <v>54190517</v>
      </c>
      <c r="C13" s="16">
        <v>61470338</v>
      </c>
      <c r="D13" s="41">
        <f t="shared" si="0"/>
        <v>61470338</v>
      </c>
      <c r="E13" s="42">
        <f t="shared" si="1"/>
        <v>7279821</v>
      </c>
      <c r="F13" s="44">
        <f t="shared" si="2"/>
        <v>54190517</v>
      </c>
      <c r="G13" s="44">
        <f t="shared" si="3"/>
        <v>56268498.510586314</v>
      </c>
      <c r="H13" s="44">
        <f t="shared" si="7"/>
        <v>0</v>
      </c>
      <c r="I13" s="44">
        <f t="shared" si="8"/>
        <v>56268498.510586314</v>
      </c>
      <c r="J13" s="44">
        <f t="shared" si="4"/>
        <v>54161559.063787021</v>
      </c>
      <c r="K13" s="44">
        <f t="shared" si="9"/>
        <v>54161559.063787021</v>
      </c>
      <c r="L13" s="44">
        <f t="shared" si="10"/>
        <v>54190517</v>
      </c>
      <c r="M13" s="44">
        <f t="shared" si="11"/>
        <v>0</v>
      </c>
      <c r="N13" s="44">
        <f t="shared" si="5"/>
        <v>0</v>
      </c>
      <c r="O13" s="44">
        <f t="shared" si="12"/>
        <v>54190517</v>
      </c>
      <c r="P13" s="44">
        <f t="shared" si="13"/>
        <v>0</v>
      </c>
      <c r="Q13" s="44">
        <f t="shared" si="14"/>
        <v>0</v>
      </c>
      <c r="R13" s="44">
        <f t="shared" si="6"/>
        <v>0</v>
      </c>
      <c r="S13" s="44">
        <f t="shared" si="15"/>
        <v>54190517</v>
      </c>
      <c r="T13" s="44">
        <f t="shared" si="16"/>
        <v>0</v>
      </c>
      <c r="U13" s="44">
        <f t="shared" si="17"/>
        <v>0</v>
      </c>
      <c r="V13" s="44">
        <f t="shared" si="18"/>
        <v>0</v>
      </c>
      <c r="W13" s="44">
        <f t="shared" si="19"/>
        <v>54190517</v>
      </c>
      <c r="X13" s="44">
        <f t="shared" si="20"/>
        <v>54190517</v>
      </c>
      <c r="Y13" s="44">
        <f t="shared" si="21"/>
        <v>0</v>
      </c>
    </row>
    <row r="14" spans="1:29" x14ac:dyDescent="0.25">
      <c r="A14" t="s">
        <v>120</v>
      </c>
      <c r="B14" s="16">
        <v>624061</v>
      </c>
      <c r="C14" s="16">
        <v>648819</v>
      </c>
      <c r="D14" s="41">
        <f t="shared" si="0"/>
        <v>648819</v>
      </c>
      <c r="E14" s="42">
        <f t="shared" si="1"/>
        <v>24758</v>
      </c>
      <c r="F14" s="44">
        <f t="shared" si="2"/>
        <v>624061</v>
      </c>
      <c r="G14" s="44">
        <f t="shared" si="3"/>
        <v>593913.61952719546</v>
      </c>
      <c r="H14" s="44">
        <f t="shared" si="7"/>
        <v>624061</v>
      </c>
      <c r="I14" s="44">
        <f t="shared" si="8"/>
        <v>0</v>
      </c>
      <c r="J14" s="44">
        <f t="shared" si="4"/>
        <v>0</v>
      </c>
      <c r="K14" s="44">
        <f t="shared" si="9"/>
        <v>624061</v>
      </c>
      <c r="L14" s="44">
        <f t="shared" si="10"/>
        <v>0</v>
      </c>
      <c r="M14" s="44">
        <f t="shared" si="11"/>
        <v>0</v>
      </c>
      <c r="N14" s="44">
        <f t="shared" si="5"/>
        <v>0</v>
      </c>
      <c r="O14" s="44">
        <f t="shared" si="12"/>
        <v>624061</v>
      </c>
      <c r="P14" s="44">
        <f t="shared" si="13"/>
        <v>0</v>
      </c>
      <c r="Q14" s="44">
        <f t="shared" si="14"/>
        <v>0</v>
      </c>
      <c r="R14" s="44">
        <f t="shared" si="6"/>
        <v>0</v>
      </c>
      <c r="S14" s="44">
        <f t="shared" si="15"/>
        <v>624061</v>
      </c>
      <c r="T14" s="44">
        <f t="shared" si="16"/>
        <v>0</v>
      </c>
      <c r="U14" s="44">
        <f t="shared" si="17"/>
        <v>0</v>
      </c>
      <c r="V14" s="44">
        <f t="shared" si="18"/>
        <v>0</v>
      </c>
      <c r="W14" s="44">
        <f t="shared" si="19"/>
        <v>624061</v>
      </c>
      <c r="X14" s="44">
        <f t="shared" si="20"/>
        <v>624061</v>
      </c>
      <c r="Y14" s="44">
        <f t="shared" si="21"/>
        <v>0</v>
      </c>
    </row>
    <row r="15" spans="1:29" x14ac:dyDescent="0.25">
      <c r="A15" t="s">
        <v>121</v>
      </c>
      <c r="B15" s="16">
        <v>760037</v>
      </c>
      <c r="C15" s="16">
        <v>814811</v>
      </c>
      <c r="D15" s="41">
        <f t="shared" si="0"/>
        <v>814811</v>
      </c>
      <c r="E15" s="42">
        <f t="shared" si="1"/>
        <v>54774</v>
      </c>
      <c r="F15" s="44">
        <f t="shared" si="2"/>
        <v>760037</v>
      </c>
      <c r="G15" s="44">
        <f t="shared" si="3"/>
        <v>745858.78379112459</v>
      </c>
      <c r="H15" s="44">
        <f t="shared" si="7"/>
        <v>760037</v>
      </c>
      <c r="I15" s="44">
        <f t="shared" si="8"/>
        <v>0</v>
      </c>
      <c r="J15" s="44">
        <f t="shared" si="4"/>
        <v>0</v>
      </c>
      <c r="K15" s="44">
        <f t="shared" si="9"/>
        <v>760037</v>
      </c>
      <c r="L15" s="44">
        <f t="shared" si="10"/>
        <v>0</v>
      </c>
      <c r="M15" s="44">
        <f t="shared" si="11"/>
        <v>0</v>
      </c>
      <c r="N15" s="44">
        <f t="shared" si="5"/>
        <v>0</v>
      </c>
      <c r="O15" s="44">
        <f t="shared" si="12"/>
        <v>760037</v>
      </c>
      <c r="P15" s="44">
        <f t="shared" si="13"/>
        <v>0</v>
      </c>
      <c r="Q15" s="44">
        <f t="shared" si="14"/>
        <v>0</v>
      </c>
      <c r="R15" s="44">
        <f t="shared" si="6"/>
        <v>0</v>
      </c>
      <c r="S15" s="44">
        <f t="shared" si="15"/>
        <v>760037</v>
      </c>
      <c r="T15" s="44">
        <f t="shared" si="16"/>
        <v>0</v>
      </c>
      <c r="U15" s="44">
        <f t="shared" si="17"/>
        <v>0</v>
      </c>
      <c r="V15" s="44">
        <f t="shared" si="18"/>
        <v>0</v>
      </c>
      <c r="W15" s="44">
        <f t="shared" si="19"/>
        <v>760037</v>
      </c>
      <c r="X15" s="44">
        <f t="shared" si="20"/>
        <v>760037</v>
      </c>
      <c r="Y15" s="44">
        <f t="shared" si="21"/>
        <v>0</v>
      </c>
    </row>
    <row r="16" spans="1:29" x14ac:dyDescent="0.25">
      <c r="A16" t="s">
        <v>122</v>
      </c>
      <c r="B16" s="16">
        <v>14978</v>
      </c>
      <c r="C16" s="16">
        <v>15320</v>
      </c>
      <c r="D16" s="41">
        <f t="shared" si="0"/>
        <v>15320</v>
      </c>
      <c r="E16" s="42">
        <f t="shared" si="1"/>
        <v>342</v>
      </c>
      <c r="F16" s="44">
        <f t="shared" si="2"/>
        <v>14978</v>
      </c>
      <c r="G16" s="44">
        <f t="shared" si="3"/>
        <v>14023.566897943239</v>
      </c>
      <c r="H16" s="44">
        <f t="shared" si="7"/>
        <v>14978</v>
      </c>
      <c r="I16" s="44">
        <f t="shared" si="8"/>
        <v>0</v>
      </c>
      <c r="J16" s="44">
        <f t="shared" si="4"/>
        <v>0</v>
      </c>
      <c r="K16" s="44">
        <f t="shared" si="9"/>
        <v>14978</v>
      </c>
      <c r="L16" s="44">
        <f t="shared" si="10"/>
        <v>0</v>
      </c>
      <c r="M16" s="44">
        <f t="shared" si="11"/>
        <v>0</v>
      </c>
      <c r="N16" s="44">
        <f t="shared" si="5"/>
        <v>0</v>
      </c>
      <c r="O16" s="44">
        <f t="shared" si="12"/>
        <v>14978</v>
      </c>
      <c r="P16" s="44">
        <f t="shared" si="13"/>
        <v>0</v>
      </c>
      <c r="Q16" s="44">
        <f t="shared" si="14"/>
        <v>0</v>
      </c>
      <c r="R16" s="44">
        <f t="shared" si="6"/>
        <v>0</v>
      </c>
      <c r="S16" s="44">
        <f t="shared" si="15"/>
        <v>14978</v>
      </c>
      <c r="T16" s="44">
        <f t="shared" si="16"/>
        <v>0</v>
      </c>
      <c r="U16" s="44">
        <f t="shared" si="17"/>
        <v>0</v>
      </c>
      <c r="V16" s="44">
        <f t="shared" si="18"/>
        <v>0</v>
      </c>
      <c r="W16" s="44">
        <f t="shared" si="19"/>
        <v>14978</v>
      </c>
      <c r="X16" s="44">
        <f t="shared" si="20"/>
        <v>14978</v>
      </c>
      <c r="Y16" s="44">
        <f t="shared" si="21"/>
        <v>0</v>
      </c>
    </row>
    <row r="17" spans="1:25" x14ac:dyDescent="0.25">
      <c r="A17" t="s">
        <v>123</v>
      </c>
      <c r="B17" s="16">
        <v>21150</v>
      </c>
      <c r="C17" s="16">
        <v>19757</v>
      </c>
      <c r="D17" s="41">
        <f t="shared" si="0"/>
        <v>0</v>
      </c>
      <c r="E17" s="42">
        <f t="shared" si="1"/>
        <v>0</v>
      </c>
      <c r="F17" s="44">
        <f t="shared" si="2"/>
        <v>0</v>
      </c>
      <c r="G17" s="44">
        <f t="shared" si="3"/>
        <v>0</v>
      </c>
      <c r="H17" s="44">
        <f t="shared" si="7"/>
        <v>0</v>
      </c>
      <c r="I17" s="44">
        <f t="shared" si="8"/>
        <v>0</v>
      </c>
      <c r="J17" s="44">
        <f t="shared" si="4"/>
        <v>0</v>
      </c>
      <c r="K17" s="44">
        <f t="shared" si="9"/>
        <v>0</v>
      </c>
      <c r="L17" s="44">
        <f t="shared" si="10"/>
        <v>0</v>
      </c>
      <c r="M17" s="44">
        <f t="shared" si="11"/>
        <v>0</v>
      </c>
      <c r="N17" s="44">
        <f t="shared" si="5"/>
        <v>0</v>
      </c>
      <c r="O17" s="44">
        <f t="shared" si="12"/>
        <v>0</v>
      </c>
      <c r="P17" s="44">
        <f t="shared" si="13"/>
        <v>0</v>
      </c>
      <c r="Q17" s="44">
        <f t="shared" si="14"/>
        <v>0</v>
      </c>
      <c r="R17" s="44">
        <f t="shared" si="6"/>
        <v>0</v>
      </c>
      <c r="S17" s="44">
        <f t="shared" si="15"/>
        <v>0</v>
      </c>
      <c r="T17" s="44">
        <f t="shared" si="16"/>
        <v>0</v>
      </c>
      <c r="U17" s="44">
        <f t="shared" si="17"/>
        <v>0</v>
      </c>
      <c r="V17" s="44">
        <f t="shared" si="18"/>
        <v>0</v>
      </c>
      <c r="W17" s="44">
        <f t="shared" si="19"/>
        <v>0</v>
      </c>
      <c r="X17" s="44">
        <f t="shared" si="20"/>
        <v>19757</v>
      </c>
      <c r="Y17" s="44">
        <f t="shared" si="21"/>
        <v>0</v>
      </c>
    </row>
    <row r="18" spans="1:25" x14ac:dyDescent="0.25">
      <c r="A18" t="s">
        <v>124</v>
      </c>
      <c r="B18" s="16">
        <v>349079</v>
      </c>
      <c r="C18" s="16">
        <v>343424</v>
      </c>
      <c r="D18" s="41">
        <f t="shared" si="0"/>
        <v>0</v>
      </c>
      <c r="E18" s="42">
        <f t="shared" si="1"/>
        <v>0</v>
      </c>
      <c r="F18" s="44">
        <f t="shared" si="2"/>
        <v>0</v>
      </c>
      <c r="G18" s="44">
        <f t="shared" si="3"/>
        <v>0</v>
      </c>
      <c r="H18" s="44">
        <f t="shared" si="7"/>
        <v>0</v>
      </c>
      <c r="I18" s="44">
        <f t="shared" si="8"/>
        <v>0</v>
      </c>
      <c r="J18" s="44">
        <f t="shared" si="4"/>
        <v>0</v>
      </c>
      <c r="K18" s="44">
        <f t="shared" si="9"/>
        <v>0</v>
      </c>
      <c r="L18" s="44">
        <f t="shared" si="10"/>
        <v>0</v>
      </c>
      <c r="M18" s="44">
        <f t="shared" si="11"/>
        <v>0</v>
      </c>
      <c r="N18" s="44">
        <f t="shared" si="5"/>
        <v>0</v>
      </c>
      <c r="O18" s="44">
        <f t="shared" si="12"/>
        <v>0</v>
      </c>
      <c r="P18" s="44">
        <f t="shared" si="13"/>
        <v>0</v>
      </c>
      <c r="Q18" s="44">
        <f t="shared" si="14"/>
        <v>0</v>
      </c>
      <c r="R18" s="44">
        <f t="shared" si="6"/>
        <v>0</v>
      </c>
      <c r="S18" s="44">
        <f t="shared" si="15"/>
        <v>0</v>
      </c>
      <c r="T18" s="44">
        <f t="shared" si="16"/>
        <v>0</v>
      </c>
      <c r="U18" s="44">
        <f t="shared" si="17"/>
        <v>0</v>
      </c>
      <c r="V18" s="44">
        <f t="shared" si="18"/>
        <v>0</v>
      </c>
      <c r="W18" s="44">
        <f t="shared" si="19"/>
        <v>0</v>
      </c>
      <c r="X18" s="44">
        <f t="shared" si="20"/>
        <v>343424</v>
      </c>
      <c r="Y18" s="44">
        <f t="shared" si="21"/>
        <v>0</v>
      </c>
    </row>
    <row r="19" spans="1:25" x14ac:dyDescent="0.25">
      <c r="A19" t="s">
        <v>125</v>
      </c>
      <c r="B19" s="16">
        <v>92609</v>
      </c>
      <c r="C19" s="16">
        <v>95333</v>
      </c>
      <c r="D19" s="41">
        <f t="shared" si="0"/>
        <v>95333</v>
      </c>
      <c r="E19" s="42">
        <f t="shared" si="1"/>
        <v>2724</v>
      </c>
      <c r="F19" s="44">
        <f t="shared" si="2"/>
        <v>92609</v>
      </c>
      <c r="G19" s="44">
        <f t="shared" si="3"/>
        <v>87265.581141098082</v>
      </c>
      <c r="H19" s="44">
        <f t="shared" si="7"/>
        <v>92609</v>
      </c>
      <c r="I19" s="44">
        <f t="shared" si="8"/>
        <v>0</v>
      </c>
      <c r="J19" s="44">
        <f t="shared" si="4"/>
        <v>0</v>
      </c>
      <c r="K19" s="44">
        <f t="shared" si="9"/>
        <v>92609</v>
      </c>
      <c r="L19" s="44">
        <f t="shared" si="10"/>
        <v>0</v>
      </c>
      <c r="M19" s="44">
        <f t="shared" si="11"/>
        <v>0</v>
      </c>
      <c r="N19" s="44">
        <f t="shared" si="5"/>
        <v>0</v>
      </c>
      <c r="O19" s="44">
        <f t="shared" si="12"/>
        <v>92609</v>
      </c>
      <c r="P19" s="44">
        <f t="shared" si="13"/>
        <v>0</v>
      </c>
      <c r="Q19" s="44">
        <f t="shared" si="14"/>
        <v>0</v>
      </c>
      <c r="R19" s="44">
        <f t="shared" si="6"/>
        <v>0</v>
      </c>
      <c r="S19" s="44">
        <f t="shared" si="15"/>
        <v>92609</v>
      </c>
      <c r="T19" s="44">
        <f t="shared" si="16"/>
        <v>0</v>
      </c>
      <c r="U19" s="44">
        <f t="shared" si="17"/>
        <v>0</v>
      </c>
      <c r="V19" s="44">
        <f t="shared" si="18"/>
        <v>0</v>
      </c>
      <c r="W19" s="44">
        <f t="shared" si="19"/>
        <v>92609</v>
      </c>
      <c r="X19" s="44">
        <f t="shared" si="20"/>
        <v>92609</v>
      </c>
      <c r="Y19" s="44">
        <f t="shared" si="21"/>
        <v>0</v>
      </c>
    </row>
    <row r="20" spans="1:25" x14ac:dyDescent="0.25">
      <c r="A20" t="s">
        <v>126</v>
      </c>
      <c r="B20" s="16">
        <v>121859</v>
      </c>
      <c r="C20" s="16">
        <v>128742</v>
      </c>
      <c r="D20" s="41">
        <f t="shared" si="0"/>
        <v>128742</v>
      </c>
      <c r="E20" s="42">
        <f t="shared" si="1"/>
        <v>6883</v>
      </c>
      <c r="F20" s="44">
        <f t="shared" si="2"/>
        <v>121859</v>
      </c>
      <c r="G20" s="44">
        <f t="shared" si="3"/>
        <v>117847.39226990916</v>
      </c>
      <c r="H20" s="44">
        <f t="shared" si="7"/>
        <v>121859</v>
      </c>
      <c r="I20" s="44">
        <f t="shared" si="8"/>
        <v>0</v>
      </c>
      <c r="J20" s="44">
        <f t="shared" si="4"/>
        <v>0</v>
      </c>
      <c r="K20" s="44">
        <f t="shared" si="9"/>
        <v>121859</v>
      </c>
      <c r="L20" s="44">
        <f t="shared" si="10"/>
        <v>0</v>
      </c>
      <c r="M20" s="44">
        <f t="shared" si="11"/>
        <v>0</v>
      </c>
      <c r="N20" s="44">
        <f t="shared" si="5"/>
        <v>0</v>
      </c>
      <c r="O20" s="44">
        <f t="shared" si="12"/>
        <v>121859</v>
      </c>
      <c r="P20" s="44">
        <f t="shared" si="13"/>
        <v>0</v>
      </c>
      <c r="Q20" s="44">
        <f t="shared" si="14"/>
        <v>0</v>
      </c>
      <c r="R20" s="44">
        <f t="shared" si="6"/>
        <v>0</v>
      </c>
      <c r="S20" s="44">
        <f t="shared" si="15"/>
        <v>121859</v>
      </c>
      <c r="T20" s="44">
        <f t="shared" si="16"/>
        <v>0</v>
      </c>
      <c r="U20" s="44">
        <f t="shared" si="17"/>
        <v>0</v>
      </c>
      <c r="V20" s="44">
        <f t="shared" si="18"/>
        <v>0</v>
      </c>
      <c r="W20" s="44">
        <f t="shared" si="19"/>
        <v>121859</v>
      </c>
      <c r="X20" s="44">
        <f t="shared" si="20"/>
        <v>121859</v>
      </c>
      <c r="Y20" s="44">
        <f t="shared" si="21"/>
        <v>0</v>
      </c>
    </row>
    <row r="21" spans="1:25" x14ac:dyDescent="0.25">
      <c r="A21" t="s">
        <v>127</v>
      </c>
      <c r="B21" s="16">
        <v>1434953</v>
      </c>
      <c r="C21" s="16">
        <v>1597705</v>
      </c>
      <c r="D21" s="41">
        <f t="shared" si="0"/>
        <v>1597705</v>
      </c>
      <c r="E21" s="42">
        <f t="shared" si="1"/>
        <v>162752</v>
      </c>
      <c r="F21" s="44">
        <f t="shared" si="2"/>
        <v>1434953</v>
      </c>
      <c r="G21" s="44">
        <f t="shared" si="3"/>
        <v>1462501.4980860576</v>
      </c>
      <c r="H21" s="44">
        <f t="shared" si="7"/>
        <v>0</v>
      </c>
      <c r="I21" s="44">
        <f t="shared" si="8"/>
        <v>1462501.4980860576</v>
      </c>
      <c r="J21" s="44">
        <f t="shared" si="4"/>
        <v>1407739.025674592</v>
      </c>
      <c r="K21" s="44">
        <f t="shared" si="9"/>
        <v>1407739.025674592</v>
      </c>
      <c r="L21" s="44">
        <f t="shared" si="10"/>
        <v>1434953</v>
      </c>
      <c r="M21" s="44">
        <f t="shared" si="11"/>
        <v>0</v>
      </c>
      <c r="N21" s="44">
        <f t="shared" si="5"/>
        <v>0</v>
      </c>
      <c r="O21" s="44">
        <f t="shared" si="12"/>
        <v>1434953</v>
      </c>
      <c r="P21" s="44">
        <f t="shared" si="13"/>
        <v>0</v>
      </c>
      <c r="Q21" s="44">
        <f t="shared" si="14"/>
        <v>0</v>
      </c>
      <c r="R21" s="44">
        <f t="shared" si="6"/>
        <v>0</v>
      </c>
      <c r="S21" s="44">
        <f t="shared" si="15"/>
        <v>1434953</v>
      </c>
      <c r="T21" s="44">
        <f t="shared" si="16"/>
        <v>0</v>
      </c>
      <c r="U21" s="44">
        <f t="shared" si="17"/>
        <v>0</v>
      </c>
      <c r="V21" s="44">
        <f t="shared" si="18"/>
        <v>0</v>
      </c>
      <c r="W21" s="44">
        <f t="shared" si="19"/>
        <v>1434953</v>
      </c>
      <c r="X21" s="44">
        <f t="shared" si="20"/>
        <v>1434953</v>
      </c>
      <c r="Y21" s="44">
        <f t="shared" si="21"/>
        <v>0</v>
      </c>
    </row>
    <row r="22" spans="1:25" x14ac:dyDescent="0.25">
      <c r="A22" t="s">
        <v>128</v>
      </c>
      <c r="B22" s="16">
        <v>111782</v>
      </c>
      <c r="C22" s="16">
        <v>145774</v>
      </c>
      <c r="D22" s="41">
        <f t="shared" si="0"/>
        <v>145774</v>
      </c>
      <c r="E22" s="42">
        <f t="shared" si="1"/>
        <v>33992</v>
      </c>
      <c r="F22" s="44">
        <f t="shared" si="2"/>
        <v>111782</v>
      </c>
      <c r="G22" s="44">
        <f t="shared" si="3"/>
        <v>133438.08361493328</v>
      </c>
      <c r="H22" s="44">
        <f t="shared" si="7"/>
        <v>0</v>
      </c>
      <c r="I22" s="44">
        <f t="shared" si="8"/>
        <v>133438.08361493328</v>
      </c>
      <c r="J22" s="44">
        <f t="shared" si="4"/>
        <v>128441.57634149482</v>
      </c>
      <c r="K22" s="44">
        <f t="shared" si="9"/>
        <v>128441.57634149482</v>
      </c>
      <c r="L22" s="44">
        <f t="shared" si="10"/>
        <v>0</v>
      </c>
      <c r="M22" s="44">
        <f t="shared" si="11"/>
        <v>128441.57634149482</v>
      </c>
      <c r="N22" s="44">
        <f t="shared" si="5"/>
        <v>124076.50177862146</v>
      </c>
      <c r="O22" s="44">
        <f t="shared" si="12"/>
        <v>124076.50177862146</v>
      </c>
      <c r="P22" s="44">
        <f t="shared" si="13"/>
        <v>0</v>
      </c>
      <c r="Q22" s="44">
        <f t="shared" si="14"/>
        <v>124076.50177862146</v>
      </c>
      <c r="R22" s="44">
        <f t="shared" si="6"/>
        <v>117601.7984124199</v>
      </c>
      <c r="S22" s="44">
        <f t="shared" si="15"/>
        <v>117601.7984124199</v>
      </c>
      <c r="T22" s="44">
        <f t="shared" si="16"/>
        <v>0</v>
      </c>
      <c r="U22" s="44">
        <f t="shared" si="17"/>
        <v>117601.7984124199</v>
      </c>
      <c r="V22" s="44">
        <f t="shared" si="18"/>
        <v>111782</v>
      </c>
      <c r="W22" s="44">
        <f t="shared" si="19"/>
        <v>111782</v>
      </c>
      <c r="X22" s="44">
        <f t="shared" si="20"/>
        <v>111782</v>
      </c>
      <c r="Y22" s="44">
        <f t="shared" si="21"/>
        <v>0</v>
      </c>
    </row>
    <row r="23" spans="1:25" x14ac:dyDescent="0.25">
      <c r="A23" t="s">
        <v>129</v>
      </c>
      <c r="B23" s="16">
        <v>1329996</v>
      </c>
      <c r="C23" s="16">
        <v>1545325</v>
      </c>
      <c r="D23" s="41">
        <f t="shared" si="0"/>
        <v>1545325</v>
      </c>
      <c r="E23" s="42">
        <f t="shared" si="1"/>
        <v>215329</v>
      </c>
      <c r="F23" s="44">
        <f t="shared" si="2"/>
        <v>1329996</v>
      </c>
      <c r="G23" s="44">
        <f t="shared" si="3"/>
        <v>1414554.0807156747</v>
      </c>
      <c r="H23" s="44">
        <f t="shared" si="7"/>
        <v>0</v>
      </c>
      <c r="I23" s="44">
        <f t="shared" si="8"/>
        <v>1414554.0807156747</v>
      </c>
      <c r="J23" s="44">
        <f t="shared" si="4"/>
        <v>1361586.969966664</v>
      </c>
      <c r="K23" s="44">
        <f t="shared" si="9"/>
        <v>1361586.969966664</v>
      </c>
      <c r="L23" s="44">
        <f t="shared" si="10"/>
        <v>0</v>
      </c>
      <c r="M23" s="44">
        <f t="shared" si="11"/>
        <v>1361586.969966664</v>
      </c>
      <c r="N23" s="44">
        <f t="shared" si="5"/>
        <v>1315313.5683389918</v>
      </c>
      <c r="O23" s="44">
        <f t="shared" si="12"/>
        <v>1315313.5683389918</v>
      </c>
      <c r="P23" s="44">
        <f t="shared" si="13"/>
        <v>1329996</v>
      </c>
      <c r="Q23" s="44">
        <f t="shared" si="14"/>
        <v>0</v>
      </c>
      <c r="R23" s="44">
        <f t="shared" si="6"/>
        <v>0</v>
      </c>
      <c r="S23" s="44">
        <f t="shared" si="15"/>
        <v>1329996</v>
      </c>
      <c r="T23" s="44">
        <f t="shared" si="16"/>
        <v>0</v>
      </c>
      <c r="U23" s="44">
        <f t="shared" si="17"/>
        <v>0</v>
      </c>
      <c r="V23" s="44">
        <f t="shared" si="18"/>
        <v>0</v>
      </c>
      <c r="W23" s="44">
        <f t="shared" si="19"/>
        <v>1329996</v>
      </c>
      <c r="X23" s="44">
        <f t="shared" si="20"/>
        <v>1329996</v>
      </c>
      <c r="Y23" s="44">
        <f t="shared" si="21"/>
        <v>0</v>
      </c>
    </row>
    <row r="24" spans="1:25" x14ac:dyDescent="0.25">
      <c r="A24" t="s">
        <v>130</v>
      </c>
      <c r="B24" s="16">
        <v>154899</v>
      </c>
      <c r="C24" s="16">
        <v>184792</v>
      </c>
      <c r="D24" s="41">
        <f t="shared" si="0"/>
        <v>184792</v>
      </c>
      <c r="E24" s="42">
        <f t="shared" si="1"/>
        <v>29893</v>
      </c>
      <c r="F24" s="44">
        <f t="shared" si="2"/>
        <v>154899</v>
      </c>
      <c r="G24" s="44">
        <f t="shared" si="3"/>
        <v>169154.24113607878</v>
      </c>
      <c r="H24" s="44">
        <f t="shared" si="7"/>
        <v>0</v>
      </c>
      <c r="I24" s="44">
        <f t="shared" si="8"/>
        <v>169154.24113607878</v>
      </c>
      <c r="J24" s="44">
        <f t="shared" si="4"/>
        <v>162820.36423022975</v>
      </c>
      <c r="K24" s="44">
        <f t="shared" si="9"/>
        <v>162820.36423022975</v>
      </c>
      <c r="L24" s="44">
        <f t="shared" si="10"/>
        <v>0</v>
      </c>
      <c r="M24" s="44">
        <f t="shared" si="11"/>
        <v>162820.36423022975</v>
      </c>
      <c r="N24" s="44">
        <f t="shared" si="5"/>
        <v>157286.92988238655</v>
      </c>
      <c r="O24" s="44">
        <f t="shared" si="12"/>
        <v>157286.92988238655</v>
      </c>
      <c r="P24" s="44">
        <f t="shared" si="13"/>
        <v>0</v>
      </c>
      <c r="Q24" s="44">
        <f t="shared" si="14"/>
        <v>157286.92988238655</v>
      </c>
      <c r="R24" s="44">
        <f t="shared" si="6"/>
        <v>149079.20158758006</v>
      </c>
      <c r="S24" s="44">
        <f t="shared" si="15"/>
        <v>149079.20158758006</v>
      </c>
      <c r="T24" s="44">
        <f t="shared" si="16"/>
        <v>154899</v>
      </c>
      <c r="U24" s="44">
        <f t="shared" si="17"/>
        <v>0</v>
      </c>
      <c r="V24" s="44">
        <f t="shared" si="18"/>
        <v>0</v>
      </c>
      <c r="W24" s="44">
        <f t="shared" si="19"/>
        <v>154899</v>
      </c>
      <c r="X24" s="44">
        <f t="shared" si="20"/>
        <v>154899</v>
      </c>
      <c r="Y24" s="44">
        <f t="shared" si="21"/>
        <v>0</v>
      </c>
    </row>
    <row r="25" spans="1:25" x14ac:dyDescent="0.25">
      <c r="A25" t="s">
        <v>131</v>
      </c>
      <c r="B25" s="16">
        <v>35792</v>
      </c>
      <c r="C25" s="16">
        <v>32539</v>
      </c>
      <c r="D25" s="41">
        <f t="shared" si="0"/>
        <v>0</v>
      </c>
      <c r="E25" s="42">
        <f t="shared" si="1"/>
        <v>0</v>
      </c>
      <c r="F25" s="44">
        <f t="shared" si="2"/>
        <v>0</v>
      </c>
      <c r="G25" s="44">
        <f t="shared" si="3"/>
        <v>0</v>
      </c>
      <c r="H25" s="44">
        <f t="shared" si="7"/>
        <v>0</v>
      </c>
      <c r="I25" s="44">
        <f t="shared" si="8"/>
        <v>0</v>
      </c>
      <c r="J25" s="44">
        <f t="shared" si="4"/>
        <v>0</v>
      </c>
      <c r="K25" s="44">
        <f t="shared" si="9"/>
        <v>0</v>
      </c>
      <c r="L25" s="44">
        <f t="shared" si="10"/>
        <v>0</v>
      </c>
      <c r="M25" s="44">
        <f t="shared" si="11"/>
        <v>0</v>
      </c>
      <c r="N25" s="44">
        <f t="shared" si="5"/>
        <v>0</v>
      </c>
      <c r="O25" s="44">
        <f t="shared" si="12"/>
        <v>0</v>
      </c>
      <c r="P25" s="44">
        <f t="shared" si="13"/>
        <v>0</v>
      </c>
      <c r="Q25" s="44">
        <f t="shared" si="14"/>
        <v>0</v>
      </c>
      <c r="R25" s="44">
        <f t="shared" si="6"/>
        <v>0</v>
      </c>
      <c r="S25" s="44">
        <f t="shared" si="15"/>
        <v>0</v>
      </c>
      <c r="T25" s="44">
        <f t="shared" si="16"/>
        <v>0</v>
      </c>
      <c r="U25" s="44">
        <f t="shared" si="17"/>
        <v>0</v>
      </c>
      <c r="V25" s="44">
        <f t="shared" si="18"/>
        <v>0</v>
      </c>
      <c r="W25" s="44">
        <f t="shared" si="19"/>
        <v>0</v>
      </c>
      <c r="X25" s="44">
        <f t="shared" si="20"/>
        <v>32539</v>
      </c>
      <c r="Y25" s="44">
        <f t="shared" si="21"/>
        <v>0</v>
      </c>
    </row>
    <row r="26" spans="1:25" x14ac:dyDescent="0.25">
      <c r="A26" t="s">
        <v>132</v>
      </c>
      <c r="B26" s="16">
        <v>45406969</v>
      </c>
      <c r="C26" s="16">
        <v>47608033</v>
      </c>
      <c r="D26" s="41">
        <f t="shared" si="0"/>
        <v>47608033</v>
      </c>
      <c r="E26" s="42">
        <f t="shared" si="1"/>
        <v>2201064</v>
      </c>
      <c r="F26" s="44">
        <f t="shared" si="2"/>
        <v>45406969</v>
      </c>
      <c r="G26" s="44">
        <f t="shared" si="3"/>
        <v>43579271.256853089</v>
      </c>
      <c r="H26" s="44">
        <f t="shared" si="7"/>
        <v>45406969</v>
      </c>
      <c r="I26" s="44">
        <f t="shared" si="8"/>
        <v>0</v>
      </c>
      <c r="J26" s="44">
        <f t="shared" si="4"/>
        <v>0</v>
      </c>
      <c r="K26" s="44">
        <f t="shared" si="9"/>
        <v>45406969</v>
      </c>
      <c r="L26" s="44">
        <f t="shared" si="10"/>
        <v>0</v>
      </c>
      <c r="M26" s="44">
        <f t="shared" si="11"/>
        <v>0</v>
      </c>
      <c r="N26" s="44">
        <f t="shared" si="5"/>
        <v>0</v>
      </c>
      <c r="O26" s="44">
        <f t="shared" si="12"/>
        <v>45406969</v>
      </c>
      <c r="P26" s="44">
        <f t="shared" si="13"/>
        <v>0</v>
      </c>
      <c r="Q26" s="44">
        <f t="shared" si="14"/>
        <v>0</v>
      </c>
      <c r="R26" s="44">
        <f t="shared" si="6"/>
        <v>0</v>
      </c>
      <c r="S26" s="44">
        <f t="shared" si="15"/>
        <v>45406969</v>
      </c>
      <c r="T26" s="44">
        <f t="shared" si="16"/>
        <v>0</v>
      </c>
      <c r="U26" s="44">
        <f t="shared" si="17"/>
        <v>0</v>
      </c>
      <c r="V26" s="44">
        <f t="shared" si="18"/>
        <v>0</v>
      </c>
      <c r="W26" s="44">
        <f t="shared" si="19"/>
        <v>45406969</v>
      </c>
      <c r="X26" s="44">
        <f t="shared" si="20"/>
        <v>45406969</v>
      </c>
      <c r="Y26" s="44">
        <f t="shared" si="21"/>
        <v>0</v>
      </c>
    </row>
    <row r="27" spans="1:25" x14ac:dyDescent="0.25">
      <c r="A27" t="s">
        <v>133</v>
      </c>
      <c r="B27" s="16">
        <v>167799</v>
      </c>
      <c r="C27" s="16">
        <v>168917</v>
      </c>
      <c r="D27" s="41">
        <f t="shared" si="0"/>
        <v>168917</v>
      </c>
      <c r="E27" s="42">
        <f t="shared" si="1"/>
        <v>1118</v>
      </c>
      <c r="F27" s="44">
        <f t="shared" si="2"/>
        <v>167799</v>
      </c>
      <c r="G27" s="44">
        <f t="shared" si="3"/>
        <v>154622.64031983537</v>
      </c>
      <c r="H27" s="44">
        <f t="shared" si="7"/>
        <v>167799</v>
      </c>
      <c r="I27" s="44">
        <f t="shared" si="8"/>
        <v>0</v>
      </c>
      <c r="J27" s="44">
        <f t="shared" si="4"/>
        <v>0</v>
      </c>
      <c r="K27" s="44">
        <f t="shared" si="9"/>
        <v>167799</v>
      </c>
      <c r="L27" s="44">
        <f t="shared" si="10"/>
        <v>0</v>
      </c>
      <c r="M27" s="44">
        <f t="shared" si="11"/>
        <v>0</v>
      </c>
      <c r="N27" s="44">
        <f t="shared" si="5"/>
        <v>0</v>
      </c>
      <c r="O27" s="44">
        <f t="shared" si="12"/>
        <v>167799</v>
      </c>
      <c r="P27" s="44">
        <f t="shared" si="13"/>
        <v>0</v>
      </c>
      <c r="Q27" s="44">
        <f t="shared" si="14"/>
        <v>0</v>
      </c>
      <c r="R27" s="44">
        <f t="shared" si="6"/>
        <v>0</v>
      </c>
      <c r="S27" s="44">
        <f t="shared" si="15"/>
        <v>167799</v>
      </c>
      <c r="T27" s="44">
        <f t="shared" si="16"/>
        <v>0</v>
      </c>
      <c r="U27" s="44">
        <f t="shared" si="17"/>
        <v>0</v>
      </c>
      <c r="V27" s="44">
        <f t="shared" si="18"/>
        <v>0</v>
      </c>
      <c r="W27" s="44">
        <f t="shared" si="19"/>
        <v>167799</v>
      </c>
      <c r="X27" s="44">
        <f t="shared" si="20"/>
        <v>167799</v>
      </c>
      <c r="Y27" s="44">
        <f t="shared" si="21"/>
        <v>0</v>
      </c>
    </row>
    <row r="28" spans="1:25" x14ac:dyDescent="0.25">
      <c r="A28" t="s">
        <v>59</v>
      </c>
      <c r="B28" s="16">
        <v>908172</v>
      </c>
      <c r="C28" s="16">
        <v>870824</v>
      </c>
      <c r="D28" s="41">
        <f t="shared" si="0"/>
        <v>0</v>
      </c>
      <c r="E28" s="42">
        <f t="shared" si="1"/>
        <v>0</v>
      </c>
      <c r="F28" s="44">
        <f t="shared" si="2"/>
        <v>0</v>
      </c>
      <c r="G28" s="44">
        <f t="shared" si="3"/>
        <v>0</v>
      </c>
      <c r="H28" s="44">
        <f t="shared" si="7"/>
        <v>0</v>
      </c>
      <c r="I28" s="44">
        <f t="shared" si="8"/>
        <v>0</v>
      </c>
      <c r="J28" s="44">
        <f t="shared" si="4"/>
        <v>0</v>
      </c>
      <c r="K28" s="44">
        <f t="shared" si="9"/>
        <v>0</v>
      </c>
      <c r="L28" s="44">
        <f t="shared" si="10"/>
        <v>0</v>
      </c>
      <c r="M28" s="44">
        <f t="shared" si="11"/>
        <v>0</v>
      </c>
      <c r="N28" s="44">
        <f t="shared" si="5"/>
        <v>0</v>
      </c>
      <c r="O28" s="44">
        <f t="shared" si="12"/>
        <v>0</v>
      </c>
      <c r="P28" s="44">
        <f t="shared" si="13"/>
        <v>0</v>
      </c>
      <c r="Q28" s="44">
        <f t="shared" si="14"/>
        <v>0</v>
      </c>
      <c r="R28" s="44">
        <f t="shared" si="6"/>
        <v>0</v>
      </c>
      <c r="S28" s="44">
        <f t="shared" si="15"/>
        <v>0</v>
      </c>
      <c r="T28" s="44">
        <f t="shared" si="16"/>
        <v>0</v>
      </c>
      <c r="U28" s="44">
        <f t="shared" si="17"/>
        <v>0</v>
      </c>
      <c r="V28" s="44">
        <f t="shared" si="18"/>
        <v>0</v>
      </c>
      <c r="W28" s="44">
        <f t="shared" si="19"/>
        <v>0</v>
      </c>
      <c r="X28" s="44">
        <f t="shared" si="20"/>
        <v>870824</v>
      </c>
      <c r="Y28" s="44">
        <f t="shared" si="21"/>
        <v>0</v>
      </c>
    </row>
    <row r="29" spans="1:25" s="35" customFormat="1" x14ac:dyDescent="0.25">
      <c r="A29" s="40" t="s">
        <v>134</v>
      </c>
      <c r="B29" s="44">
        <v>2305580</v>
      </c>
      <c r="C29" s="44">
        <v>2309009</v>
      </c>
      <c r="D29" s="41">
        <f t="shared" si="0"/>
        <v>2309009</v>
      </c>
      <c r="E29" s="42">
        <f t="shared" si="1"/>
        <v>3429</v>
      </c>
      <c r="F29" s="44">
        <f t="shared" si="2"/>
        <v>2305580</v>
      </c>
      <c r="G29" s="44">
        <f t="shared" si="3"/>
        <v>2113612.4138024161</v>
      </c>
      <c r="H29" s="44">
        <f t="shared" si="7"/>
        <v>2305580</v>
      </c>
      <c r="I29" s="44">
        <f t="shared" si="8"/>
        <v>0</v>
      </c>
      <c r="J29" s="44">
        <f t="shared" si="4"/>
        <v>0</v>
      </c>
      <c r="K29" s="44">
        <f t="shared" si="9"/>
        <v>2305580</v>
      </c>
      <c r="L29" s="44">
        <f t="shared" si="10"/>
        <v>0</v>
      </c>
      <c r="M29" s="44">
        <f t="shared" si="11"/>
        <v>0</v>
      </c>
      <c r="N29" s="44">
        <f t="shared" si="5"/>
        <v>0</v>
      </c>
      <c r="O29" s="44">
        <f t="shared" si="12"/>
        <v>2305580</v>
      </c>
      <c r="P29" s="44">
        <f t="shared" si="13"/>
        <v>0</v>
      </c>
      <c r="Q29" s="44">
        <f t="shared" si="14"/>
        <v>0</v>
      </c>
      <c r="R29" s="44">
        <f t="shared" si="6"/>
        <v>0</v>
      </c>
      <c r="S29" s="44">
        <f t="shared" si="15"/>
        <v>2305580</v>
      </c>
      <c r="T29" s="44">
        <f t="shared" si="16"/>
        <v>0</v>
      </c>
      <c r="U29" s="44">
        <f t="shared" si="17"/>
        <v>0</v>
      </c>
      <c r="V29" s="44">
        <f t="shared" si="18"/>
        <v>0</v>
      </c>
      <c r="W29" s="44">
        <f t="shared" si="19"/>
        <v>2305580</v>
      </c>
      <c r="X29" s="44">
        <f t="shared" si="20"/>
        <v>2305580</v>
      </c>
      <c r="Y29" s="44">
        <f t="shared" si="21"/>
        <v>0</v>
      </c>
    </row>
    <row r="30" spans="1:25" x14ac:dyDescent="0.25">
      <c r="A30" s="32" t="s">
        <v>65</v>
      </c>
      <c r="B30" s="43">
        <f t="shared" ref="B30:Y30" si="22">SUM(B11:B29)</f>
        <v>110000000</v>
      </c>
      <c r="C30" s="43">
        <f t="shared" si="22"/>
        <v>120000000</v>
      </c>
      <c r="D30" s="43">
        <f t="shared" si="22"/>
        <v>118733456</v>
      </c>
      <c r="E30" s="43">
        <f t="shared" si="22"/>
        <v>10047649</v>
      </c>
      <c r="F30" s="43">
        <f t="shared" si="22"/>
        <v>108685807</v>
      </c>
      <c r="G30" s="43">
        <f t="shared" si="22"/>
        <v>108685807</v>
      </c>
      <c r="H30" s="43">
        <f t="shared" si="22"/>
        <v>51463660</v>
      </c>
      <c r="I30" s="43">
        <f t="shared" si="22"/>
        <v>59448146.414139055</v>
      </c>
      <c r="J30" s="43">
        <f t="shared" si="22"/>
        <v>57222147</v>
      </c>
      <c r="K30" s="43">
        <f t="shared" si="22"/>
        <v>108685807</v>
      </c>
      <c r="L30" s="43">
        <f t="shared" si="22"/>
        <v>55625470</v>
      </c>
      <c r="M30" s="43">
        <f t="shared" si="22"/>
        <v>1652848.9105383886</v>
      </c>
      <c r="N30" s="43">
        <f t="shared" si="22"/>
        <v>1596676.9999999998</v>
      </c>
      <c r="O30" s="43">
        <f t="shared" si="22"/>
        <v>108685807</v>
      </c>
      <c r="P30" s="43">
        <f t="shared" si="22"/>
        <v>1329996</v>
      </c>
      <c r="Q30" s="43">
        <f t="shared" si="22"/>
        <v>281363.43166100804</v>
      </c>
      <c r="R30" s="43">
        <f t="shared" si="22"/>
        <v>266680.99999999994</v>
      </c>
      <c r="S30" s="43">
        <f t="shared" si="22"/>
        <v>108685807</v>
      </c>
      <c r="T30" s="43">
        <f t="shared" si="22"/>
        <v>154899</v>
      </c>
      <c r="U30" s="43">
        <f t="shared" si="22"/>
        <v>117601.7984124199</v>
      </c>
      <c r="V30" s="43">
        <f t="shared" si="22"/>
        <v>111782</v>
      </c>
      <c r="W30" s="43">
        <f t="shared" si="22"/>
        <v>108685807</v>
      </c>
      <c r="X30" s="43">
        <f t="shared" si="22"/>
        <v>109952351</v>
      </c>
      <c r="Y30" s="43">
        <f t="shared" si="22"/>
        <v>0</v>
      </c>
    </row>
    <row r="31" spans="1:25" x14ac:dyDescent="0.25">
      <c r="B31" s="16"/>
      <c r="C31" s="16"/>
    </row>
    <row r="34" spans="2:2" x14ac:dyDescent="0.25">
      <c r="B34" s="28"/>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141211A4B14314DBD5D5A7B83E24890" ma:contentTypeVersion="1" ma:contentTypeDescription="Create a new document." ma:contentTypeScope="" ma:versionID="664d52d0fa2f76914411c2fd596cea0b">
  <xsd:schema xmlns:xsd="http://www.w3.org/2001/XMLSchema" xmlns:xs="http://www.w3.org/2001/XMLSchema" xmlns:p="http://schemas.microsoft.com/office/2006/metadata/properties" xmlns:ns2="7332bb46-aecf-497f-a589-e38fa15c96cd" targetNamespace="http://schemas.microsoft.com/office/2006/metadata/properties" ma:root="true" ma:fieldsID="360dddc4d2c8f3c57efb0076f201b85f" ns2:_="">
    <xsd:import namespace="7332bb46-aecf-497f-a589-e38fa15c96cd"/>
    <xsd:element name="properties">
      <xsd:complexType>
        <xsd:sequence>
          <xsd:element name="documentManagement">
            <xsd:complexType>
              <xsd:all>
                <xsd:element ref="ns2:Item_x0020_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32bb46-aecf-497f-a589-e38fa15c96cd" elementFormDefault="qualified">
    <xsd:import namespace="http://schemas.microsoft.com/office/2006/documentManagement/types"/>
    <xsd:import namespace="http://schemas.microsoft.com/office/infopath/2007/PartnerControls"/>
    <xsd:element name="Item_x0020_Status" ma:index="8" nillable="true" ma:displayName="Item Status" ma:default="Active" ma:format="Dropdown" ma:internalName="Item_x0020_Status">
      <xsd:simpleType>
        <xsd:restriction base="dms:Choice">
          <xsd:enumeration value="Active"/>
          <xsd:enumeration value="Inactiv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tem_x0020_Status xmlns="7332bb46-aecf-497f-a589-e38fa15c96cd">Active</Item_x0020_Status>
  </documentManagement>
</p:properties>
</file>

<file path=customXml/itemProps1.xml><?xml version="1.0" encoding="utf-8"?>
<ds:datastoreItem xmlns:ds="http://schemas.openxmlformats.org/officeDocument/2006/customXml" ds:itemID="{C25D226B-F3DD-4409-9FD0-1A08705A6FCE}">
  <ds:schemaRefs>
    <ds:schemaRef ds:uri="http://schemas.microsoft.com/sharepoint/v3/contenttype/forms"/>
  </ds:schemaRefs>
</ds:datastoreItem>
</file>

<file path=customXml/itemProps2.xml><?xml version="1.0" encoding="utf-8"?>
<ds:datastoreItem xmlns:ds="http://schemas.openxmlformats.org/officeDocument/2006/customXml" ds:itemID="{AE24E684-F5E7-474B-9A1E-E3A781DD68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332bb46-aecf-497f-a589-e38fa15c96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E6EF84F-995A-48B2-ABF6-2649CE130E7C}">
  <ds:schemaRefs>
    <ds:schemaRef ds:uri="http://schemas.microsoft.com/office/2006/metadata/properties"/>
    <ds:schemaRef ds:uri="http://schemas.microsoft.com/office/2006/documentManagement/types"/>
    <ds:schemaRef ds:uri="http://schemas.openxmlformats.org/package/2006/metadata/core-properties"/>
    <ds:schemaRef ds:uri="http://purl.org/dc/elements/1.1/"/>
    <ds:schemaRef ds:uri="http://www.w3.org/XML/1998/namespace"/>
    <ds:schemaRef ds:uri="http://schemas.microsoft.com/office/infopath/2007/PartnerControls"/>
    <ds:schemaRef ds:uri="7332bb46-aecf-497f-a589-e38fa15c96cd"/>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Allocation</vt:lpstr>
      <vt:lpstr>Formula counts</vt:lpstr>
      <vt:lpstr>Formula Count Adjustments</vt:lpstr>
      <vt:lpstr>Formula Eligibility</vt:lpstr>
      <vt:lpstr>Initial Basic Grants Adj &amp; HH</vt:lpstr>
      <vt:lpstr>Sec. 1003(a) &amp; 1003(h) - Ex. 1 </vt:lpstr>
      <vt:lpstr>Sec. 1003(a) &amp; 1003(h) - Ex. 2</vt:lpstr>
      <vt:lpstr>Allocation!Print_Area</vt:lpstr>
      <vt:lpstr>'Formula counts'!Print_Area</vt:lpstr>
      <vt:lpstr>Allocation!Print_Titles</vt:lpstr>
      <vt:lpstr>'Formula counts'!Print_Titles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Section 1003(h)</dc:title>
  <dc:creator/>
  <cp:lastModifiedBy/>
  <dcterms:created xsi:type="dcterms:W3CDTF">2006-09-16T00:00:00Z</dcterms:created>
  <dcterms:modified xsi:type="dcterms:W3CDTF">2019-01-16T13:47:40Z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0x0101001141211A4B14314DBD5D5A7B83E24890</vt:lpwstr>
  </property>
</Properties>
</file>